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T:\GemowinNG\GmFx\checkout\Duedingen\363132\"/>
    </mc:Choice>
  </mc:AlternateContent>
  <xr:revisionPtr revIDLastSave="0" documentId="13_ncr:1_{7766F11F-243F-41E7-BE53-433EB106EADC}" xr6:coauthVersionLast="47" xr6:coauthVersionMax="47" xr10:uidLastSave="{00000000-0000-0000-0000-000000000000}"/>
  <workbookProtection workbookAlgorithmName="SHA-512" workbookHashValue="8Q2V/d9WAeiNAnIJNIRPzIwEYPXsB0h0LSXduQ+6kpqj9Du9NK7bgRhGJHCRnaqntSwCyJXuRbHxmCCsyhfaMw==" workbookSaltValue="VmMptbc9nwAd8WzUGjwwpQ==" workbookSpinCount="100000" lockStructure="1"/>
  <bookViews>
    <workbookView xWindow="-120" yWindow="-120" windowWidth="29040" windowHeight="17640" activeTab="1" xr2:uid="{00000000-000D-0000-FFFF-FFFF00000000}"/>
  </bookViews>
  <sheets>
    <sheet name="Beispiel" sheetId="14" r:id="rId1"/>
    <sheet name="Abflussbeiwert Parzelle" sheetId="11" r:id="rId2"/>
    <sheet name="Volumen Versickerung" sheetId="1" r:id="rId3"/>
    <sheet name="B1" sheetId="13" state="hidden" r:id="rId4"/>
    <sheet name="Volumen Retention" sheetId="9" r:id="rId5"/>
    <sheet name="liste" sheetId="12" state="hidden" r:id="rId6"/>
    <sheet name="B2" sheetId="10" state="hidden" r:id="rId7"/>
    <sheet name="Dim. Lochblende" sheetId="15" r:id="rId8"/>
  </sheets>
  <definedNames>
    <definedName name="Auswahl_liste" localSheetId="0">#REF!</definedName>
    <definedName name="Auswahl_liste">#REF!</definedName>
    <definedName name="Auswahl1" comment="Auswahl liste Versickerung / Retention" localSheetId="0">#REF!</definedName>
    <definedName name="Auswahl1" comment="Auswahl liste Versickerung / Retention">#REF!</definedName>
    <definedName name="Coefficient_de_ruissellement_à_atteindre" localSheetId="4">'Volumen Retention'!$B$50</definedName>
    <definedName name="Coefficient_de_ruissellement_à_atteindre">'Volumen Versickerung'!$B$50</definedName>
    <definedName name="Dächer">liste!$C$17:$C$24</definedName>
    <definedName name="_xlnm.Print_Area" localSheetId="1">'Abflussbeiwert Parzelle'!$B$1:$H$67</definedName>
    <definedName name="_xlnm.Print_Area" localSheetId="0">Beispiel!$B$1:$I$79</definedName>
    <definedName name="_xlnm.Print_Area" localSheetId="4">'Volumen Retention'!$A$1:$N$79</definedName>
    <definedName name="_xlnm.Print_Area" localSheetId="2">'Volumen Versickerung'!$A$1:$N$79</definedName>
    <definedName name="Typ_Abflussbedingung">liste!$B$2:$B$5</definedName>
    <definedName name="Typ_Anschluss">liste!$B$11:$B$13</definedName>
    <definedName name="Typ_Begrünt">liste!$C$20:$C$24</definedName>
    <definedName name="Typ_Dach">liste!$C$16:$C$18</definedName>
    <definedName name="Typ_Durchlässig">liste!$C$34:$C$46</definedName>
    <definedName name="Typ_Jährlichkeit">liste!$C$7:$C$8</definedName>
    <definedName name="Typ_Platz">liste!$C$25:$C$31</definedName>
    <definedName name="Typ_Zone">liste!$B$7:$B$9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1" l="1"/>
  <c r="E22" i="11"/>
  <c r="E23" i="11"/>
  <c r="E24" i="11"/>
  <c r="F24" i="11" s="1"/>
  <c r="E25" i="11"/>
  <c r="F25" i="11" s="1"/>
  <c r="E26" i="11"/>
  <c r="E10" i="11"/>
  <c r="F10" i="11" s="1"/>
  <c r="E11" i="11"/>
  <c r="F11" i="11" s="1"/>
  <c r="E12" i="11"/>
  <c r="F12" i="11" s="1"/>
  <c r="E13" i="11"/>
  <c r="F13" i="11" s="1"/>
  <c r="E14" i="11"/>
  <c r="F14" i="11" s="1"/>
  <c r="D43" i="11"/>
  <c r="D42" i="11"/>
  <c r="D41" i="11"/>
  <c r="D38" i="11"/>
  <c r="D44" i="11" l="1"/>
  <c r="C55" i="12" s="1"/>
  <c r="D46" i="14"/>
  <c r="D45" i="14"/>
  <c r="F45" i="14" s="1"/>
  <c r="D44" i="14"/>
  <c r="D47" i="14" s="1"/>
  <c r="D41" i="14"/>
  <c r="F40" i="14"/>
  <c r="F39" i="14"/>
  <c r="E37" i="14"/>
  <c r="F37" i="14" s="1"/>
  <c r="E36" i="14"/>
  <c r="F36" i="14" s="1"/>
  <c r="E35" i="14"/>
  <c r="F35" i="14" s="1"/>
  <c r="E34" i="14"/>
  <c r="F34" i="14" s="1"/>
  <c r="E33" i="14"/>
  <c r="F33" i="14" s="1"/>
  <c r="E32" i="14"/>
  <c r="F32" i="14" s="1"/>
  <c r="E30" i="14"/>
  <c r="F30" i="14" s="1"/>
  <c r="E29" i="14"/>
  <c r="F29" i="14" s="1"/>
  <c r="E26" i="14"/>
  <c r="F26" i="14" s="1"/>
  <c r="E25" i="14"/>
  <c r="F25" i="14" s="1"/>
  <c r="E24" i="14"/>
  <c r="F24" i="14" s="1"/>
  <c r="E23" i="14"/>
  <c r="F23" i="14" s="1"/>
  <c r="E22" i="14"/>
  <c r="F22" i="14" s="1"/>
  <c r="E21" i="14"/>
  <c r="F21" i="14" s="1"/>
  <c r="E20" i="14"/>
  <c r="F20" i="14" s="1"/>
  <c r="E19" i="14"/>
  <c r="F19" i="14" s="1"/>
  <c r="E18" i="14"/>
  <c r="F18" i="14" s="1"/>
  <c r="E17" i="14"/>
  <c r="F17" i="14" s="1"/>
  <c r="E14" i="14"/>
  <c r="F14" i="14" s="1"/>
  <c r="E13" i="14"/>
  <c r="F13" i="14" s="1"/>
  <c r="E12" i="14"/>
  <c r="F12" i="14" s="1"/>
  <c r="F42" i="11"/>
  <c r="E40" i="9"/>
  <c r="C50" i="1"/>
  <c r="F41" i="14" l="1"/>
  <c r="F46" i="14"/>
  <c r="E46" i="14" s="1"/>
  <c r="E40" i="1"/>
  <c r="E27" i="11"/>
  <c r="F27" i="11" s="1"/>
  <c r="E15" i="11"/>
  <c r="F15" i="11" s="1"/>
  <c r="E16" i="11"/>
  <c r="F16" i="11" s="1"/>
  <c r="E17" i="11"/>
  <c r="F17" i="11" s="1"/>
  <c r="E18" i="11"/>
  <c r="F18" i="11" s="1"/>
  <c r="E19" i="11"/>
  <c r="F19" i="11" s="1"/>
  <c r="E20" i="11"/>
  <c r="F20" i="11" s="1"/>
  <c r="F21" i="11"/>
  <c r="F22" i="11"/>
  <c r="F23" i="11"/>
  <c r="F26" i="11"/>
  <c r="E29" i="11"/>
  <c r="F29" i="11" s="1"/>
  <c r="E30" i="11"/>
  <c r="F30" i="11" s="1"/>
  <c r="E31" i="11"/>
  <c r="F31" i="11" s="1"/>
  <c r="E32" i="11"/>
  <c r="F32" i="11" s="1"/>
  <c r="E33" i="11"/>
  <c r="F33" i="11" s="1"/>
  <c r="E34" i="11"/>
  <c r="F34" i="11" s="1"/>
  <c r="E9" i="11"/>
  <c r="F9" i="11" s="1"/>
  <c r="E41" i="1" l="1"/>
  <c r="C57" i="12"/>
  <c r="G17" i="12"/>
  <c r="F44" i="14" l="1"/>
  <c r="F47" i="14" s="1"/>
  <c r="F48" i="14" s="1"/>
  <c r="E41" i="9"/>
  <c r="D50" i="1"/>
  <c r="D50" i="9"/>
  <c r="C17" i="13"/>
  <c r="C16" i="13"/>
  <c r="D22" i="13"/>
  <c r="F7" i="13"/>
  <c r="F8" i="13" s="1"/>
  <c r="D7" i="13"/>
  <c r="D6" i="13"/>
  <c r="B19" i="13" l="1"/>
  <c r="G23" i="13" s="1"/>
  <c r="B20" i="13"/>
  <c r="F9" i="13"/>
  <c r="D22" i="10"/>
  <c r="F37" i="11"/>
  <c r="F36" i="11"/>
  <c r="C56" i="12" s="1"/>
  <c r="H23" i="13" l="1"/>
  <c r="I23" i="13" s="1"/>
  <c r="G20" i="13"/>
  <c r="H20" i="13" s="1"/>
  <c r="I20" i="13" s="1"/>
  <c r="G29" i="13"/>
  <c r="H29" i="13" s="1"/>
  <c r="I29" i="13" s="1"/>
  <c r="F43" i="11"/>
  <c r="F38" i="11"/>
  <c r="C58" i="12"/>
  <c r="G18" i="13"/>
  <c r="H18" i="13" s="1"/>
  <c r="I18" i="13" s="1"/>
  <c r="B21" i="13"/>
  <c r="G6" i="13"/>
  <c r="H6" i="13" s="1"/>
  <c r="I6" i="13" s="1"/>
  <c r="G28" i="13"/>
  <c r="H28" i="13" s="1"/>
  <c r="I28" i="13" s="1"/>
  <c r="G27" i="13"/>
  <c r="H27" i="13" s="1"/>
  <c r="J27" i="13" s="1"/>
  <c r="G19" i="13"/>
  <c r="H19" i="13" s="1"/>
  <c r="I19" i="13" s="1"/>
  <c r="G8" i="13"/>
  <c r="H8" i="13" s="1"/>
  <c r="I8" i="13" s="1"/>
  <c r="G21" i="13"/>
  <c r="H21" i="13" s="1"/>
  <c r="I21" i="13" s="1"/>
  <c r="G5" i="13"/>
  <c r="H5" i="13" s="1"/>
  <c r="I5" i="13" s="1"/>
  <c r="G26" i="13"/>
  <c r="H26" i="13" s="1"/>
  <c r="I26" i="13" s="1"/>
  <c r="G25" i="13"/>
  <c r="H25" i="13" s="1"/>
  <c r="J25" i="13" s="1"/>
  <c r="G24" i="13"/>
  <c r="H24" i="13" s="1"/>
  <c r="I24" i="13" s="1"/>
  <c r="G7" i="13"/>
  <c r="H7" i="13" s="1"/>
  <c r="I7" i="13" s="1"/>
  <c r="G22" i="13"/>
  <c r="H22" i="13" s="1"/>
  <c r="I22" i="13" s="1"/>
  <c r="J8" i="13"/>
  <c r="G9" i="13"/>
  <c r="H9" i="13" s="1"/>
  <c r="I9" i="13" s="1"/>
  <c r="F10" i="13"/>
  <c r="J23" i="13"/>
  <c r="C17" i="10"/>
  <c r="C16" i="10"/>
  <c r="B20" i="10" l="1"/>
  <c r="B19" i="10"/>
  <c r="J29" i="13"/>
  <c r="J20" i="13"/>
  <c r="J5" i="13"/>
  <c r="J21" i="13"/>
  <c r="J9" i="13"/>
  <c r="J18" i="13"/>
  <c r="J6" i="13"/>
  <c r="I27" i="13"/>
  <c r="J19" i="13"/>
  <c r="J28" i="13"/>
  <c r="I25" i="13"/>
  <c r="J26" i="13"/>
  <c r="J24" i="13"/>
  <c r="J22" i="13"/>
  <c r="J7" i="13"/>
  <c r="G10" i="13"/>
  <c r="H10" i="13" s="1"/>
  <c r="I10" i="13" s="1"/>
  <c r="F11" i="13"/>
  <c r="D7" i="10"/>
  <c r="D6" i="10"/>
  <c r="D65" i="9"/>
  <c r="D63" i="9"/>
  <c r="D61" i="9"/>
  <c r="E34" i="9"/>
  <c r="E33" i="9"/>
  <c r="E36" i="9" s="1"/>
  <c r="J10" i="13" l="1"/>
  <c r="F12" i="13"/>
  <c r="G11" i="13"/>
  <c r="H11" i="13" s="1"/>
  <c r="I11" i="13" s="1"/>
  <c r="B21" i="10"/>
  <c r="G6" i="10"/>
  <c r="H6" i="10" s="1"/>
  <c r="I6" i="10" s="1"/>
  <c r="G5" i="10"/>
  <c r="H5" i="10" s="1"/>
  <c r="I5" i="10" s="1"/>
  <c r="J11" i="13" l="1"/>
  <c r="G12" i="13"/>
  <c r="H12" i="13" s="1"/>
  <c r="I12" i="13" s="1"/>
  <c r="F13" i="13"/>
  <c r="J6" i="10"/>
  <c r="J5" i="10"/>
  <c r="E43" i="11" l="1"/>
  <c r="J12" i="13"/>
  <c r="G13" i="13"/>
  <c r="H13" i="13" s="1"/>
  <c r="I13" i="13" s="1"/>
  <c r="F14" i="13"/>
  <c r="F15" i="13" l="1"/>
  <c r="G14" i="13"/>
  <c r="H14" i="13" s="1"/>
  <c r="I14" i="13" s="1"/>
  <c r="J13" i="13"/>
  <c r="J14" i="13" l="1"/>
  <c r="G15" i="13"/>
  <c r="H15" i="13" s="1"/>
  <c r="I15" i="13" s="1"/>
  <c r="F16" i="13"/>
  <c r="J15" i="13" l="1"/>
  <c r="G16" i="13"/>
  <c r="H16" i="13" s="1"/>
  <c r="I16" i="13" s="1"/>
  <c r="F17" i="13"/>
  <c r="J16" i="13" l="1"/>
  <c r="G17" i="13"/>
  <c r="H17" i="13" s="1"/>
  <c r="I17" i="13" s="1"/>
  <c r="J17" i="13" l="1"/>
  <c r="E34" i="1"/>
  <c r="E33" i="1"/>
  <c r="E36" i="1" s="1"/>
  <c r="D61" i="1"/>
  <c r="D63" i="1"/>
  <c r="D65" i="1"/>
  <c r="E42" i="1" l="1"/>
  <c r="D54" i="1" l="1"/>
  <c r="E54" i="1" l="1"/>
  <c r="D56" i="1"/>
  <c r="B23" i="13" s="1"/>
  <c r="B24" i="13" s="1"/>
  <c r="D55" i="1"/>
  <c r="E55" i="1" s="1"/>
  <c r="F7" i="10"/>
  <c r="E56" i="1" l="1"/>
  <c r="A31" i="13"/>
  <c r="L7" i="13"/>
  <c r="B26" i="13"/>
  <c r="B27" i="13" s="1"/>
  <c r="L9" i="13"/>
  <c r="L6" i="13"/>
  <c r="F8" i="10"/>
  <c r="G7" i="10"/>
  <c r="H7" i="10" s="1"/>
  <c r="I7" i="10" s="1"/>
  <c r="B28" i="13" l="1"/>
  <c r="J7" i="10"/>
  <c r="G8" i="10"/>
  <c r="H8" i="10" s="1"/>
  <c r="I8" i="10" s="1"/>
  <c r="F9" i="10"/>
  <c r="E59" i="1" l="1"/>
  <c r="E67" i="1" s="1"/>
  <c r="E67" i="14" s="1"/>
  <c r="M7" i="13"/>
  <c r="M8" i="13"/>
  <c r="M9" i="13" s="1"/>
  <c r="J8" i="10"/>
  <c r="G9" i="10"/>
  <c r="H9" i="10" s="1"/>
  <c r="I9" i="10" s="1"/>
  <c r="F10" i="10"/>
  <c r="E63" i="11" l="1"/>
  <c r="E64" i="11" s="1"/>
  <c r="B65" i="11" s="1"/>
  <c r="J9" i="10"/>
  <c r="G10" i="10"/>
  <c r="H10" i="10" s="1"/>
  <c r="I10" i="10" s="1"/>
  <c r="F11" i="10"/>
  <c r="B59" i="11" l="1"/>
  <c r="J10" i="10"/>
  <c r="G11" i="10"/>
  <c r="H11" i="10" s="1"/>
  <c r="I11" i="10" s="1"/>
  <c r="F12" i="10"/>
  <c r="J11" i="10" l="1"/>
  <c r="G12" i="10"/>
  <c r="H12" i="10" s="1"/>
  <c r="I12" i="10" s="1"/>
  <c r="F13" i="10"/>
  <c r="J12" i="10" l="1"/>
  <c r="G13" i="10"/>
  <c r="H13" i="10" s="1"/>
  <c r="I13" i="10" s="1"/>
  <c r="F14" i="10"/>
  <c r="J13" i="10" l="1"/>
  <c r="F15" i="10"/>
  <c r="G14" i="10"/>
  <c r="H14" i="10" s="1"/>
  <c r="I14" i="10" s="1"/>
  <c r="J14" i="10" l="1"/>
  <c r="G15" i="10"/>
  <c r="H15" i="10" s="1"/>
  <c r="I15" i="10" s="1"/>
  <c r="F16" i="10"/>
  <c r="J15" i="10" l="1"/>
  <c r="F17" i="10"/>
  <c r="G16" i="10"/>
  <c r="H16" i="10" s="1"/>
  <c r="I16" i="10" s="1"/>
  <c r="J16" i="10" l="1"/>
  <c r="G17" i="10"/>
  <c r="H17" i="10" s="1"/>
  <c r="I17" i="10" s="1"/>
  <c r="J17" i="10" l="1"/>
  <c r="G18" i="10"/>
  <c r="H18" i="10" s="1"/>
  <c r="I18" i="10" s="1"/>
  <c r="J18" i="10" l="1"/>
  <c r="G19" i="10"/>
  <c r="H19" i="10" s="1"/>
  <c r="I19" i="10" s="1"/>
  <c r="J19" i="10" l="1"/>
  <c r="G20" i="10"/>
  <c r="H20" i="10" s="1"/>
  <c r="I20" i="10" s="1"/>
  <c r="J20" i="10" l="1"/>
  <c r="G21" i="10"/>
  <c r="H21" i="10" s="1"/>
  <c r="I21" i="10" s="1"/>
  <c r="J21" i="10" l="1"/>
  <c r="G22" i="10"/>
  <c r="H22" i="10" s="1"/>
  <c r="I22" i="10" s="1"/>
  <c r="J22" i="10" l="1"/>
  <c r="G23" i="10"/>
  <c r="H23" i="10" s="1"/>
  <c r="I23" i="10" s="1"/>
  <c r="J23" i="10" l="1"/>
  <c r="G24" i="10"/>
  <c r="H24" i="10" s="1"/>
  <c r="I24" i="10" s="1"/>
  <c r="J24" i="10" l="1"/>
  <c r="G25" i="10"/>
  <c r="H25" i="10" s="1"/>
  <c r="I25" i="10" s="1"/>
  <c r="J25" i="10" l="1"/>
  <c r="G26" i="10"/>
  <c r="H26" i="10" s="1"/>
  <c r="I26" i="10" s="1"/>
  <c r="J26" i="10" l="1"/>
  <c r="G27" i="10"/>
  <c r="H27" i="10" s="1"/>
  <c r="I27" i="10" s="1"/>
  <c r="J27" i="10" l="1"/>
  <c r="G28" i="10"/>
  <c r="H28" i="10" s="1"/>
  <c r="I28" i="10" s="1"/>
  <c r="J28" i="10" l="1"/>
  <c r="G29" i="10"/>
  <c r="H29" i="10" s="1"/>
  <c r="I29" i="10" s="1"/>
  <c r="J29" i="10" l="1"/>
  <c r="E41" i="11" l="1"/>
  <c r="F41" i="11" s="1"/>
  <c r="F44" i="11" s="1"/>
  <c r="C50" i="9"/>
  <c r="B23" i="10" s="1"/>
  <c r="D56" i="9" s="1"/>
  <c r="D54" i="9" l="1"/>
  <c r="C10" i="15" s="1"/>
  <c r="C18" i="15" s="1"/>
  <c r="E56" i="9"/>
  <c r="E42" i="9"/>
  <c r="F45" i="11"/>
  <c r="A31" i="10"/>
  <c r="B24" i="10"/>
  <c r="E54" i="9" l="1"/>
  <c r="L9" i="10"/>
  <c r="L7" i="10"/>
  <c r="L6" i="10"/>
  <c r="B26" i="10"/>
  <c r="B27" i="10" s="1"/>
  <c r="B28" i="10" s="1"/>
  <c r="D55" i="9" l="1"/>
  <c r="E55" i="9" s="1"/>
  <c r="M7" i="10" l="1"/>
  <c r="M8" i="10"/>
  <c r="M9" i="10" s="1"/>
  <c r="E59" i="9"/>
  <c r="E67" i="9" s="1"/>
  <c r="E62" i="11" l="1"/>
</calcChain>
</file>

<file path=xl/sharedStrings.xml><?xml version="1.0" encoding="utf-8"?>
<sst xmlns="http://schemas.openxmlformats.org/spreadsheetml/2006/main" count="567" uniqueCount="250">
  <si>
    <t>[ha]</t>
  </si>
  <si>
    <t>[-]</t>
  </si>
  <si>
    <t>Plateau</t>
  </si>
  <si>
    <t>aT</t>
  </si>
  <si>
    <t>bT</t>
  </si>
  <si>
    <t>T = 1ans</t>
  </si>
  <si>
    <t>Préalpes</t>
  </si>
  <si>
    <t>Transition</t>
  </si>
  <si>
    <t>[l/s]</t>
  </si>
  <si>
    <t>Vrét.spéc.</t>
  </si>
  <si>
    <t>x</t>
  </si>
  <si>
    <t>y</t>
  </si>
  <si>
    <t>Ψ</t>
  </si>
  <si>
    <t>Débit spécifique de sortie</t>
  </si>
  <si>
    <t>[l/(s*ha)]</t>
  </si>
  <si>
    <t>Débit</t>
  </si>
  <si>
    <t>Coefficient de ruissellement</t>
  </si>
  <si>
    <t>A.</t>
  </si>
  <si>
    <t>B.</t>
  </si>
  <si>
    <t>[ 1]</t>
  </si>
  <si>
    <t>[ 2]</t>
  </si>
  <si>
    <t>[ 3]</t>
  </si>
  <si>
    <t>[ 4]</t>
  </si>
  <si>
    <t>[ 5]</t>
  </si>
  <si>
    <t>[ 6]</t>
  </si>
  <si>
    <t>C.</t>
  </si>
  <si>
    <t>Max.</t>
  </si>
  <si>
    <t>a)</t>
  </si>
  <si>
    <t>b)</t>
  </si>
  <si>
    <t>c)</t>
  </si>
  <si>
    <t>d)</t>
  </si>
  <si>
    <t>e)</t>
  </si>
  <si>
    <t>f)</t>
  </si>
  <si>
    <t>g)</t>
  </si>
  <si>
    <t>h)</t>
  </si>
  <si>
    <t>j)</t>
  </si>
  <si>
    <t>D.</t>
  </si>
  <si>
    <t>=</t>
  </si>
  <si>
    <r>
      <t>Q</t>
    </r>
    <r>
      <rPr>
        <vertAlign val="subscript"/>
        <sz val="9"/>
        <rFont val="Arial"/>
        <family val="2"/>
      </rPr>
      <t>ab</t>
    </r>
  </si>
  <si>
    <r>
      <t>q</t>
    </r>
    <r>
      <rPr>
        <vertAlign val="subscript"/>
        <sz val="9"/>
        <rFont val="Arial"/>
        <family val="2"/>
      </rPr>
      <t>ab</t>
    </r>
  </si>
  <si>
    <r>
      <t>[m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/ha</t>
    </r>
    <r>
      <rPr>
        <vertAlign val="subscript"/>
        <sz val="9"/>
        <rFont val="Arial"/>
        <family val="2"/>
      </rPr>
      <t>red</t>
    </r>
    <r>
      <rPr>
        <sz val="9"/>
        <rFont val="Arial"/>
        <family val="2"/>
      </rPr>
      <t>]</t>
    </r>
  </si>
  <si>
    <r>
      <t>[m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]</t>
    </r>
  </si>
  <si>
    <t>Ziel und Anwendungsbereich</t>
  </si>
  <si>
    <t>Das vorliegende Formular will das Berechnen des notwendigen Rückhaltevolumens für individuelle Anlagen vereinfachen. Es richtet sich an Architekten, Ingenieure, befähigtes Personal, Gemeinden und Eigentümer.</t>
  </si>
  <si>
    <t>Für die Umsetzung empfiehlt es sich die nachfolgenden einschlägigen Normen und Richtlinien anzuwenden.</t>
  </si>
  <si>
    <t>Vollzugshilfen des AfU</t>
  </si>
  <si>
    <t>Schweizer Norm SN 592 000 « Liegenschaftsentwässerung » (Ausgabe 2012)</t>
  </si>
  <si>
    <t>VSA-Richtlinie « Regenwasserentsorgung » (Ausgabe 2002 und Update 2008)</t>
  </si>
  <si>
    <t>Wegleitung Gewässerschutz, BAFU, Ausgabe 2004</t>
  </si>
  <si>
    <t>Einschlägige Normen</t>
  </si>
  <si>
    <t>Definition der Einschränkungen für Versickerungsanlagen</t>
  </si>
  <si>
    <t>Objekte im vorgesehenen Versickerungsbereich</t>
  </si>
  <si>
    <t>- Gewässerschutzzone</t>
  </si>
  <si>
    <t>Siehe Geoportal</t>
  </si>
  <si>
    <t>Geoportal : Belastete Standorte und Gewässerschutzbereiche</t>
  </si>
  <si>
    <t>Ergebnis der Zulässigkeitsprüfung gemäss [2]</t>
  </si>
  <si>
    <t>Einschränkungen oder Bewilligungen</t>
  </si>
  <si>
    <t>- für Dachabwasser</t>
  </si>
  <si>
    <t>- für Parkplatz- und Strassenabwasser</t>
  </si>
  <si>
    <t xml:space="preserve">Die Beurteilung gilt nur als Anhaltspunkt, ein Gutachten durch qualifiziertes Fachpersonal bleibt vorbehalten. </t>
  </si>
  <si>
    <t>Gesamt Fläche</t>
  </si>
  <si>
    <t>Reduzierte Fläche</t>
  </si>
  <si>
    <t>Mittlerer Abflussbeiwert</t>
  </si>
  <si>
    <t>auszufüllende Felder</t>
  </si>
  <si>
    <t>Anwendungkriterium:</t>
  </si>
  <si>
    <r>
      <t>q</t>
    </r>
    <r>
      <rPr>
        <vertAlign val="subscript"/>
        <sz val="9"/>
        <rFont val="Arial"/>
        <family val="2"/>
      </rPr>
      <t>ab</t>
    </r>
    <r>
      <rPr>
        <sz val="9"/>
        <rFont val="Arial"/>
        <family val="2"/>
      </rPr>
      <t xml:space="preserve"> &gt; 5 l/s*ha</t>
    </r>
    <r>
      <rPr>
        <vertAlign val="subscript"/>
        <sz val="9"/>
        <rFont val="Arial"/>
        <family val="2"/>
      </rPr>
      <t>red</t>
    </r>
    <r>
      <rPr>
        <sz val="9"/>
        <rFont val="Arial"/>
        <family val="2"/>
      </rPr>
      <t>, massgebliche Regendauer &lt;60 min</t>
    </r>
  </si>
  <si>
    <t>Region des Kanton Freiburg</t>
  </si>
  <si>
    <r>
      <t xml:space="preserve">Jährlichkeit </t>
    </r>
    <r>
      <rPr>
        <sz val="8"/>
        <rFont val="Arial"/>
        <family val="2"/>
      </rPr>
      <t>(5 Jahren gemäss [ 4])</t>
    </r>
  </si>
  <si>
    <t>Projektregen</t>
  </si>
  <si>
    <t>Abfluss am Auslauf</t>
  </si>
  <si>
    <t>Art der Bedingung</t>
  </si>
  <si>
    <t>Einzuhaltende Bedingung</t>
  </si>
  <si>
    <t>Wirkungsgrad des Abflussreglers</t>
  </si>
  <si>
    <t>Regulierte Abflussmenge</t>
  </si>
  <si>
    <t>Spezifische regulierte Abflussmenge</t>
  </si>
  <si>
    <t>Rückhaltevolumen</t>
  </si>
  <si>
    <t>spezifisches Rückhaltevolumen</t>
  </si>
  <si>
    <t>benötigtes Rückhaltevolumen</t>
  </si>
  <si>
    <t>bestimmt gemäss [ 4]</t>
  </si>
  <si>
    <t>gemäss Anhang 1 aus [ 5] oder [ 6]</t>
  </si>
  <si>
    <t>gemäss [ 4]</t>
  </si>
  <si>
    <t>Datum und Unterschrift :</t>
  </si>
  <si>
    <t>Fassungsbereich S1</t>
  </si>
  <si>
    <t>Schutzzone S2</t>
  </si>
  <si>
    <t>Schutzzone S3</t>
  </si>
  <si>
    <t>Gewässerschutzbereich Au</t>
  </si>
  <si>
    <t>Zuströmbereich Zu</t>
  </si>
  <si>
    <t>übrige Bereiche üB</t>
  </si>
  <si>
    <t>Wohn- oder Dienstleistungsgebäude</t>
  </si>
  <si>
    <t>Mischzone</t>
  </si>
  <si>
    <t>Landwirtschaft</t>
  </si>
  <si>
    <t>Zulässig</t>
  </si>
  <si>
    <t>Zulässig mit Vorbehandlung</t>
  </si>
  <si>
    <t>Unzulässig</t>
  </si>
  <si>
    <t>direkte unterirdische Versickerung</t>
  </si>
  <si>
    <t>Zulässig*</t>
  </si>
  <si>
    <t>Zulässig*, mit Vorbehandlungsanlage</t>
  </si>
  <si>
    <t>Verboten; Aussnahmen von fall zu fall möglich</t>
  </si>
  <si>
    <t>Verboten</t>
  </si>
  <si>
    <t>* Unter vorbehalt eines Entscheids der Raumplanungs, Umwelt und Baudirektion (RUBD)</t>
  </si>
  <si>
    <t>Ja</t>
  </si>
  <si>
    <t>Nein</t>
  </si>
  <si>
    <t>Abflussmenge</t>
  </si>
  <si>
    <t>Abflussmenge pro ha</t>
  </si>
  <si>
    <t xml:space="preserve">Spez. Abflussmenge </t>
  </si>
  <si>
    <t>Voralpen</t>
  </si>
  <si>
    <t>Mittelland</t>
  </si>
  <si>
    <t>Übergangszone</t>
  </si>
  <si>
    <t>1 Jahr</t>
  </si>
  <si>
    <t>5 Jahren</t>
  </si>
  <si>
    <t>Abflussbeiwert</t>
  </si>
  <si>
    <t>- 4.2.007 Projektregen und Abflussberechnung</t>
  </si>
  <si>
    <t>- 4.2.009 Versickerung von nicht verschmutztem Wasser</t>
  </si>
  <si>
    <t>- 4.2.010 Retention von nicht verschmutztem Wasser</t>
  </si>
  <si>
    <t>Dimensionierung</t>
  </si>
  <si>
    <t>** GEP = genereller Entwässerungsplan</t>
  </si>
  <si>
    <t>Es definiert zugleich anhand der Art des Abwassers, der Zulässigkeitsprüfung und des Anlagestandorts (Gewässerschutzzonen), ob Einschränkungen für die Versickerung berücksichtigt werden müssen</t>
  </si>
  <si>
    <t>- belasteter Standort</t>
  </si>
  <si>
    <t>Nutzung des Gebäudes des zu versickenden Abwassers</t>
  </si>
  <si>
    <t>Vorgesehener Anlagentyp</t>
  </si>
  <si>
    <t>mit humoser Oberbodenpassage</t>
  </si>
  <si>
    <r>
      <t>[l/(s*ha</t>
    </r>
    <r>
      <rPr>
        <vertAlign val="subscript"/>
        <sz val="9"/>
        <rFont val="Arial"/>
        <family val="2"/>
      </rPr>
      <t>red</t>
    </r>
    <r>
      <rPr>
        <sz val="9"/>
        <rFont val="Arial"/>
        <family val="2"/>
      </rPr>
      <t>)]</t>
    </r>
  </si>
  <si>
    <t>muss der im GEP** gegebenen Bedingung für die betroffene Parzelle entsprechen (entweder eine Abflussmenge, eine spezifische Abflussmenge oder ein Abflussbeiwert)</t>
  </si>
  <si>
    <t>variert je nach Typ von Abflussregler (kalibrierte Lochblende, Wirbeldrossel, usw. ). Auskunft beim Hersteller beziehen, Standard =1</t>
  </si>
  <si>
    <t>entspricht der gedrosselten Abflussmenge (maximaler Abfluss oder  Wirkungsgrad gewichteter Abfluss )</t>
  </si>
  <si>
    <t>entspricht dem Parameter auf der Abszisse des Bemessungsdiagrammes</t>
  </si>
  <si>
    <t>maximaler Wert, welcher gemäss GEP** eingehalten werden muss (achten Sie auf die Einheiten, welche je nach ausgewählter Bedingung ändern)</t>
  </si>
  <si>
    <r>
      <t>[l/(s*ha</t>
    </r>
    <r>
      <rPr>
        <vertAlign val="subscript"/>
        <sz val="10"/>
        <rFont val="Arial"/>
        <family val="2"/>
      </rPr>
      <t>red</t>
    </r>
    <r>
      <rPr>
        <sz val="10"/>
        <rFont val="Arial"/>
        <family val="2"/>
      </rPr>
      <t>)]</t>
    </r>
  </si>
  <si>
    <t>Angaben zu der Abfluss beeinflussenden Oberfläche</t>
  </si>
  <si>
    <t>gew.</t>
  </si>
  <si>
    <t>Industrie oder Gewerbe</t>
  </si>
  <si>
    <t>Dimensionierung des Rückhaltevolumens für kleine Versickerungs- und Retentionsanlagen</t>
  </si>
  <si>
    <t>Anlagetyp :</t>
  </si>
  <si>
    <t>A</t>
  </si>
  <si>
    <r>
      <t>A</t>
    </r>
    <r>
      <rPr>
        <vertAlign val="subscript"/>
        <sz val="9"/>
        <rFont val="Arial"/>
        <family val="2"/>
      </rPr>
      <t>red</t>
    </r>
  </si>
  <si>
    <t>Retentionsanlage</t>
  </si>
  <si>
    <t>Fläche</t>
  </si>
  <si>
    <t>Koeffizient</t>
  </si>
  <si>
    <t>reduzierte Fläche</t>
  </si>
  <si>
    <r>
      <t>m</t>
    </r>
    <r>
      <rPr>
        <b/>
        <vertAlign val="superscript"/>
        <sz val="9"/>
        <rFont val="Arial"/>
        <family val="2"/>
      </rPr>
      <t>2</t>
    </r>
  </si>
  <si>
    <r>
      <t>Y</t>
    </r>
    <r>
      <rPr>
        <b/>
        <sz val="9"/>
        <rFont val="Arial"/>
        <family val="2"/>
      </rPr>
      <t>s</t>
    </r>
    <r>
      <rPr>
        <b/>
        <sz val="9"/>
        <rFont val="Symbol"/>
        <family val="1"/>
        <charset val="2"/>
      </rPr>
      <t xml:space="preserve">  </t>
    </r>
  </si>
  <si>
    <t>Dächer:</t>
  </si>
  <si>
    <t xml:space="preserve">   Kiesflachdach</t>
  </si>
  <si>
    <t xml:space="preserve">   Begrüntes Dach:</t>
  </si>
  <si>
    <t>Plätze und Wege:</t>
  </si>
  <si>
    <t xml:space="preserve">   sickerfähiger Belag</t>
  </si>
  <si>
    <t xml:space="preserve">   öko (Splittfugen)</t>
  </si>
  <si>
    <t>durchlässige Flächen:</t>
  </si>
  <si>
    <t>Total</t>
  </si>
  <si>
    <t xml:space="preserve">   Hartbelag</t>
  </si>
  <si>
    <t xml:space="preserve">   Sickersteine</t>
  </si>
  <si>
    <t>m</t>
  </si>
  <si>
    <r>
      <t>m</t>
    </r>
    <r>
      <rPr>
        <b/>
        <vertAlign val="superscript"/>
        <sz val="10"/>
        <rFont val="Arial"/>
        <family val="2"/>
      </rPr>
      <t>2</t>
    </r>
  </si>
  <si>
    <t>l/s/hared</t>
  </si>
  <si>
    <t>c</t>
  </si>
  <si>
    <t>tmax</t>
  </si>
  <si>
    <t>tmax1</t>
  </si>
  <si>
    <t>V</t>
  </si>
  <si>
    <t>tmax [min]</t>
  </si>
  <si>
    <t>T = 5ans</t>
  </si>
  <si>
    <t>Gewählte Zone</t>
  </si>
  <si>
    <t>Jährlichkeit</t>
  </si>
  <si>
    <t>Graphik</t>
  </si>
  <si>
    <t>qab</t>
  </si>
  <si>
    <t>Vspez</t>
  </si>
  <si>
    <t>Calcul volume spécifique</t>
  </si>
  <si>
    <t>heures</t>
  </si>
  <si>
    <t>m2/hared</t>
  </si>
  <si>
    <t>Formeln</t>
  </si>
  <si>
    <t>Versickerungsanlage</t>
  </si>
  <si>
    <t>Flächen mit Retention</t>
  </si>
  <si>
    <t>5 Jahre</t>
  </si>
  <si>
    <t>Flächen mit Versickerung</t>
  </si>
  <si>
    <r>
      <rPr>
        <b/>
        <sz val="10"/>
        <rFont val="Arial"/>
        <family val="2"/>
      </rPr>
      <t>mittlerer Abflussbeiwert der Parzelle</t>
    </r>
    <r>
      <rPr>
        <b/>
        <sz val="10"/>
        <rFont val="Symbol"/>
        <family val="1"/>
        <charset val="2"/>
      </rPr>
      <t xml:space="preserve"> Y</t>
    </r>
    <r>
      <rPr>
        <b/>
        <sz val="10"/>
        <rFont val="Arial"/>
        <family val="2"/>
      </rPr>
      <t xml:space="preserve">s </t>
    </r>
  </si>
  <si>
    <r>
      <t>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  <r>
      <rPr>
        <b/>
        <vertAlign val="subscript"/>
        <sz val="10"/>
        <rFont val="Arial"/>
        <family val="2"/>
      </rPr>
      <t>red.</t>
    </r>
  </si>
  <si>
    <t>Pointeur X/Y</t>
  </si>
  <si>
    <t>Gewählte Abflussbedingung</t>
  </si>
  <si>
    <t>regen</t>
  </si>
  <si>
    <t>min</t>
  </si>
  <si>
    <t>Konzentrationsszeit</t>
  </si>
  <si>
    <t>qab gew</t>
  </si>
  <si>
    <t xml:space="preserve">Benötigtes Retentionsvolumen </t>
  </si>
  <si>
    <t>Benötigtes Volumen Versickerungsanlage</t>
  </si>
  <si>
    <t xml:space="preserve">Parzelle </t>
  </si>
  <si>
    <r>
      <t>m</t>
    </r>
    <r>
      <rPr>
        <b/>
        <vertAlign val="superscript"/>
        <sz val="9"/>
        <rFont val="Arial"/>
        <family val="2"/>
      </rPr>
      <t>3</t>
    </r>
  </si>
  <si>
    <t>Benötigte Tiefe der Versickerungsanlage</t>
  </si>
  <si>
    <t>Geometrie Versickerungsanlage</t>
  </si>
  <si>
    <t>Länge</t>
  </si>
  <si>
    <t>Breite</t>
  </si>
  <si>
    <t xml:space="preserve">   Schräg- oder Flachdach</t>
  </si>
  <si>
    <t>Dächer</t>
  </si>
  <si>
    <t>Aufbaudicke &gt;50 cm</t>
  </si>
  <si>
    <t>Aufbaudicke 25-50 cm</t>
  </si>
  <si>
    <t>Aufbaudicke 10-25 cm</t>
  </si>
  <si>
    <t>Aufbaudicke &lt;10cm</t>
  </si>
  <si>
    <t>begrünte Dächer:</t>
  </si>
  <si>
    <t>Typ</t>
  </si>
  <si>
    <t xml:space="preserve">   Kies</t>
  </si>
  <si>
    <t xml:space="preserve">   Rasengittersteine</t>
  </si>
  <si>
    <t>Anschluss</t>
  </si>
  <si>
    <t>Einzuhaltender Abflussbeiwert der Parzelle</t>
  </si>
  <si>
    <t>Flächen ohne Anlage</t>
  </si>
  <si>
    <t>Bestehende Anlagen:</t>
  </si>
  <si>
    <t>Böschungsneigung 1:m</t>
  </si>
  <si>
    <t>Bemerkung</t>
  </si>
  <si>
    <t>Einfamilienhaus</t>
  </si>
  <si>
    <t>Zufahrt</t>
  </si>
  <si>
    <t>Parkplatz</t>
  </si>
  <si>
    <t>Bodenbedeckung 
Gemäss SN 592'000</t>
  </si>
  <si>
    <t xml:space="preserve">Gemeinde Düdingen
Berechnungsblatt zur Dimensionierung von Versickerungs- und Retentionsanlagen
</t>
  </si>
  <si>
    <t xml:space="preserve"> obligatorische Felder</t>
  </si>
  <si>
    <t>Eigentümer:</t>
  </si>
  <si>
    <t>Hans Muster</t>
  </si>
  <si>
    <t>Flächen best. Versickerung</t>
  </si>
  <si>
    <t>Flächen  best. Retention</t>
  </si>
  <si>
    <t>Garten Gefälle &lt; 10%</t>
  </si>
  <si>
    <t>Garten Gefälle &lt; 20%</t>
  </si>
  <si>
    <t>Acker Gefälle &lt; 5%</t>
  </si>
  <si>
    <t>Acker Gefälle &lt; 10%</t>
  </si>
  <si>
    <t>Acker Gefälle&lt; 20%</t>
  </si>
  <si>
    <t>Acker Gefälle &gt;=20%</t>
  </si>
  <si>
    <t>Wiese Gefälle &lt; 5%</t>
  </si>
  <si>
    <t>Wiese Gefälle &lt; 10%</t>
  </si>
  <si>
    <t>Wiese Gefälle&lt; 20%</t>
  </si>
  <si>
    <t>Wiese Gefälle &gt;=20%</t>
  </si>
  <si>
    <t>Garten Gefälle &lt; 5%</t>
  </si>
  <si>
    <t>Garten Gefälle &gt;=20%</t>
  </si>
  <si>
    <t xml:space="preserve">Sickerleistung humose Bodenschicht </t>
  </si>
  <si>
    <t>l/m2/min</t>
  </si>
  <si>
    <t>ha red zur Verfügung</t>
  </si>
  <si>
    <t>noch zu reduzieren</t>
  </si>
  <si>
    <t>ha red retention</t>
  </si>
  <si>
    <t>abflussbeiwert</t>
  </si>
  <si>
    <t>Total Flächen</t>
  </si>
  <si>
    <t>Plätze, Wege und Terrassen:</t>
  </si>
  <si>
    <t>1000d</t>
  </si>
  <si>
    <t>Datum / Unterschrift:</t>
  </si>
  <si>
    <t>Flächen an Retention</t>
  </si>
  <si>
    <t>Flächen an Versickerung</t>
  </si>
  <si>
    <t>Flächen direkt angeschlossen</t>
  </si>
  <si>
    <t>l/s/ha</t>
  </si>
  <si>
    <t>m3/hared</t>
  </si>
  <si>
    <t xml:space="preserve">Gemeinde Düdingen
Berechnungsblatt zur Dimensionierung von Lochblenden
</t>
  </si>
  <si>
    <t xml:space="preserve">Regulierte Abflussmenge gemäss Berechnungsblatt "Volumen Retention g)" </t>
  </si>
  <si>
    <t>Qab</t>
  </si>
  <si>
    <t>l/s</t>
  </si>
  <si>
    <r>
      <t>H</t>
    </r>
    <r>
      <rPr>
        <vertAlign val="subscript"/>
        <sz val="10"/>
        <rFont val="Arial"/>
        <family val="2"/>
      </rPr>
      <t>max</t>
    </r>
  </si>
  <si>
    <t>cm</t>
  </si>
  <si>
    <t>Durchmesser Lochblende:</t>
  </si>
  <si>
    <t>Maximale Einstauhöhe (höhe des Notüberlaufs über der Abflussdrosselung):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</si>
</sst>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"/>
    <numFmt numFmtId="167" formatCode="#,##0.0"/>
    <numFmt numFmtId="168" formatCode="&quot;1:&quot;General"/>
  </numFmts>
  <fonts count="38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9"/>
      <color indexed="8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indexed="10"/>
      <name val="Century Gothic"/>
      <family val="2"/>
    </font>
    <font>
      <sz val="9"/>
      <name val="Arial"/>
      <family val="2"/>
    </font>
    <font>
      <sz val="9"/>
      <name val="Century Gothic"/>
      <family val="2"/>
    </font>
    <font>
      <sz val="8"/>
      <name val="Arial"/>
      <family val="2"/>
    </font>
    <font>
      <i/>
      <sz val="10"/>
      <name val="Arial"/>
      <family val="2"/>
    </font>
    <font>
      <vertAlign val="subscript"/>
      <sz val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u/>
      <sz val="8"/>
      <color indexed="12"/>
      <name val="Arial"/>
      <family val="2"/>
    </font>
    <font>
      <b/>
      <sz val="9"/>
      <name val="Arial"/>
      <family val="2"/>
    </font>
    <font>
      <sz val="8"/>
      <name val="Century Gothic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sz val="7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Century Gothic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b/>
      <sz val="9"/>
      <name val="Symbol"/>
      <family val="1"/>
      <charset val="2"/>
    </font>
    <font>
      <b/>
      <vertAlign val="subscript"/>
      <sz val="10"/>
      <name val="Arial"/>
      <family val="2"/>
    </font>
    <font>
      <b/>
      <sz val="10"/>
      <name val="Symbol"/>
      <family val="1"/>
      <charset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93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49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left" indent="1"/>
    </xf>
    <xf numFmtId="2" fontId="0" fillId="0" borderId="0" xfId="0" quotePrefix="1" applyNumberFormat="1"/>
    <xf numFmtId="0" fontId="3" fillId="0" borderId="0" xfId="0" applyFont="1"/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center"/>
    </xf>
    <xf numFmtId="1" fontId="0" fillId="0" borderId="0" xfId="0" applyNumberFormat="1"/>
    <xf numFmtId="0" fontId="3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165" fontId="3" fillId="0" borderId="0" xfId="0" applyNumberFormat="1" applyFont="1" applyAlignment="1">
      <alignment horizontal="center"/>
    </xf>
    <xf numFmtId="0" fontId="3" fillId="0" borderId="3" xfId="0" applyFont="1" applyBorder="1"/>
    <xf numFmtId="2" fontId="3" fillId="0" borderId="11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3" fillId="2" borderId="12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49" fontId="25" fillId="3" borderId="0" xfId="0" applyNumberFormat="1" applyFont="1" applyFill="1" applyAlignment="1">
      <alignment horizontal="left" vertical="center"/>
    </xf>
    <xf numFmtId="0" fontId="25" fillId="3" borderId="0" xfId="0" applyFont="1" applyFill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27" fillId="3" borderId="0" xfId="0" applyFont="1" applyFill="1" applyAlignment="1">
      <alignment vertical="center"/>
    </xf>
    <xf numFmtId="0" fontId="23" fillId="3" borderId="0" xfId="0" applyFont="1" applyFill="1" applyAlignment="1">
      <alignment horizontal="right" vertical="center"/>
    </xf>
    <xf numFmtId="0" fontId="9" fillId="3" borderId="0" xfId="0" quotePrefix="1" applyFont="1" applyFill="1" applyAlignment="1">
      <alignment vertical="center"/>
    </xf>
    <xf numFmtId="0" fontId="23" fillId="3" borderId="0" xfId="0" quotePrefix="1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3" fillId="3" borderId="0" xfId="0" quotePrefix="1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9" fillId="3" borderId="0" xfId="0" applyFont="1" applyFill="1"/>
    <xf numFmtId="0" fontId="3" fillId="3" borderId="1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2" fontId="3" fillId="3" borderId="0" xfId="0" applyNumberFormat="1" applyFont="1" applyFill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7" fillId="3" borderId="13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29" fillId="4" borderId="6" xfId="0" applyFont="1" applyFill="1" applyBorder="1" applyAlignment="1">
      <alignment horizontal="left" vertical="center"/>
    </xf>
    <xf numFmtId="0" fontId="30" fillId="4" borderId="10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vertical="center"/>
    </xf>
    <xf numFmtId="0" fontId="14" fillId="4" borderId="10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11" fillId="3" borderId="0" xfId="0" applyFont="1" applyFill="1"/>
    <xf numFmtId="0" fontId="7" fillId="3" borderId="0" xfId="0" applyFont="1" applyFill="1"/>
    <xf numFmtId="0" fontId="7" fillId="0" borderId="0" xfId="0" applyFont="1"/>
    <xf numFmtId="0" fontId="3" fillId="3" borderId="0" xfId="0" quotePrefix="1" applyFont="1" applyFill="1" applyAlignment="1">
      <alignment horizontal="left" vertical="center"/>
    </xf>
    <xf numFmtId="0" fontId="9" fillId="3" borderId="1" xfId="0" quotePrefix="1" applyFont="1" applyFill="1" applyBorder="1" applyAlignment="1">
      <alignment horizontal="left" vertical="center"/>
    </xf>
    <xf numFmtId="0" fontId="9" fillId="3" borderId="3" xfId="0" quotePrefix="1" applyFont="1" applyFill="1" applyBorder="1" applyAlignment="1">
      <alignment horizontal="left" vertical="center"/>
    </xf>
    <xf numFmtId="0" fontId="9" fillId="0" borderId="3" xfId="0" quotePrefix="1" applyFont="1" applyBorder="1"/>
    <xf numFmtId="0" fontId="9" fillId="3" borderId="14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2" fontId="9" fillId="3" borderId="0" xfId="0" applyNumberFormat="1" applyFont="1" applyFill="1" applyAlignment="1">
      <alignment horizontal="right" vertical="center"/>
    </xf>
    <xf numFmtId="0" fontId="9" fillId="3" borderId="2" xfId="0" applyFont="1" applyFill="1" applyBorder="1" applyAlignment="1">
      <alignment vertical="center"/>
    </xf>
    <xf numFmtId="2" fontId="9" fillId="3" borderId="11" xfId="0" applyNumberFormat="1" applyFont="1" applyFill="1" applyBorder="1" applyAlignment="1">
      <alignment horizontal="right" vertical="center"/>
    </xf>
    <xf numFmtId="0" fontId="9" fillId="3" borderId="4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0" fontId="17" fillId="3" borderId="4" xfId="0" applyFont="1" applyFill="1" applyBorder="1" applyAlignment="1">
      <alignment vertical="center"/>
    </xf>
    <xf numFmtId="0" fontId="9" fillId="3" borderId="0" xfId="1" applyFont="1" applyFill="1" applyAlignment="1" applyProtection="1">
      <alignment vertical="center"/>
    </xf>
    <xf numFmtId="0" fontId="9" fillId="3" borderId="11" xfId="0" applyFont="1" applyFill="1" applyBorder="1" applyAlignment="1">
      <alignment horizontal="left" vertical="center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32" fillId="0" borderId="0" xfId="2" applyFont="1" applyAlignment="1">
      <alignment horizontal="left" indent="1"/>
    </xf>
    <xf numFmtId="0" fontId="17" fillId="0" borderId="12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34" fillId="0" borderId="8" xfId="2" applyFont="1" applyBorder="1" applyAlignment="1">
      <alignment horizontal="center" vertical="center"/>
    </xf>
    <xf numFmtId="0" fontId="3" fillId="0" borderId="23" xfId="2" applyBorder="1" applyAlignment="1">
      <alignment horizontal="left" vertical="center" indent="1"/>
    </xf>
    <xf numFmtId="0" fontId="3" fillId="0" borderId="24" xfId="2" applyBorder="1" applyAlignment="1">
      <alignment horizontal="left" vertical="center"/>
    </xf>
    <xf numFmtId="2" fontId="3" fillId="0" borderId="25" xfId="2" applyNumberFormat="1" applyBorder="1" applyAlignment="1">
      <alignment horizontal="center" vertical="center"/>
    </xf>
    <xf numFmtId="0" fontId="3" fillId="0" borderId="24" xfId="2" applyBorder="1"/>
    <xf numFmtId="0" fontId="3" fillId="0" borderId="25" xfId="2" applyBorder="1"/>
    <xf numFmtId="0" fontId="3" fillId="0" borderId="23" xfId="2" applyBorder="1"/>
    <xf numFmtId="0" fontId="2" fillId="0" borderId="23" xfId="2" applyFont="1" applyBorder="1" applyAlignment="1">
      <alignment horizontal="left" vertical="center" indent="1"/>
    </xf>
    <xf numFmtId="0" fontId="2" fillId="0" borderId="24" xfId="2" applyFont="1" applyBorder="1" applyAlignment="1">
      <alignment horizontal="left" vertical="center" indent="1"/>
    </xf>
    <xf numFmtId="0" fontId="3" fillId="0" borderId="5" xfId="2" applyBorder="1"/>
    <xf numFmtId="0" fontId="3" fillId="0" borderId="17" xfId="2" applyBorder="1" applyAlignment="1">
      <alignment horizontal="left" vertical="center" indent="1"/>
    </xf>
    <xf numFmtId="0" fontId="3" fillId="0" borderId="18" xfId="2" applyBorder="1" applyAlignment="1">
      <alignment horizontal="left" vertical="center"/>
    </xf>
    <xf numFmtId="0" fontId="3" fillId="0" borderId="14" xfId="2" applyBorder="1" applyAlignment="1">
      <alignment horizontal="left" vertical="center" indent="1"/>
    </xf>
    <xf numFmtId="165" fontId="0" fillId="0" borderId="0" xfId="0" applyNumberFormat="1"/>
    <xf numFmtId="0" fontId="2" fillId="0" borderId="16" xfId="0" applyFont="1" applyBorder="1"/>
    <xf numFmtId="0" fontId="2" fillId="0" borderId="17" xfId="0" applyFont="1" applyBorder="1"/>
    <xf numFmtId="0" fontId="2" fillId="0" borderId="5" xfId="0" applyFont="1" applyBorder="1"/>
    <xf numFmtId="165" fontId="3" fillId="0" borderId="2" xfId="0" applyNumberFormat="1" applyFont="1" applyBorder="1" applyAlignment="1">
      <alignment horizontal="center"/>
    </xf>
    <xf numFmtId="0" fontId="0" fillId="0" borderId="4" xfId="0" applyBorder="1"/>
    <xf numFmtId="166" fontId="9" fillId="0" borderId="12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164" fontId="23" fillId="0" borderId="12" xfId="0" applyNumberFormat="1" applyFont="1" applyBorder="1" applyAlignment="1" applyProtection="1">
      <alignment horizontal="center" vertical="center"/>
      <protection locked="0"/>
    </xf>
    <xf numFmtId="2" fontId="9" fillId="3" borderId="11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167" fontId="17" fillId="3" borderId="15" xfId="0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9" fillId="0" borderId="0" xfId="2" applyFont="1"/>
    <xf numFmtId="14" fontId="9" fillId="0" borderId="0" xfId="2" applyNumberFormat="1" applyFont="1" applyAlignment="1">
      <alignment horizontal="right"/>
    </xf>
    <xf numFmtId="0" fontId="3" fillId="2" borderId="12" xfId="0" applyFont="1" applyFill="1" applyBorder="1" applyAlignment="1" applyProtection="1">
      <alignment vertical="center"/>
      <protection locked="0"/>
    </xf>
    <xf numFmtId="0" fontId="32" fillId="0" borderId="0" xfId="2" applyFont="1" applyAlignment="1">
      <alignment horizontal="center"/>
    </xf>
    <xf numFmtId="3" fontId="3" fillId="5" borderId="5" xfId="2" applyNumberFormat="1" applyFill="1" applyBorder="1" applyAlignment="1">
      <alignment horizontal="center" vertical="center"/>
    </xf>
    <xf numFmtId="0" fontId="3" fillId="0" borderId="17" xfId="2" applyBorder="1" applyAlignment="1">
      <alignment horizontal="center"/>
    </xf>
    <xf numFmtId="0" fontId="2" fillId="5" borderId="16" xfId="2" applyFont="1" applyFill="1" applyBorder="1" applyAlignment="1">
      <alignment horizontal="left" vertical="center" indent="1"/>
    </xf>
    <xf numFmtId="0" fontId="3" fillId="5" borderId="17" xfId="2" applyFill="1" applyBorder="1" applyAlignment="1">
      <alignment horizontal="left" vertical="center"/>
    </xf>
    <xf numFmtId="3" fontId="3" fillId="0" borderId="25" xfId="2" applyNumberFormat="1" applyBorder="1" applyAlignment="1">
      <alignment horizontal="center" vertical="center"/>
    </xf>
    <xf numFmtId="0" fontId="3" fillId="0" borderId="25" xfId="2" applyBorder="1" applyAlignment="1">
      <alignment horizontal="center"/>
    </xf>
    <xf numFmtId="0" fontId="0" fillId="0" borderId="12" xfId="0" applyBorder="1"/>
    <xf numFmtId="1" fontId="9" fillId="3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6" xfId="2" applyFont="1" applyBorder="1" applyAlignment="1">
      <alignment horizontal="left" vertical="center"/>
    </xf>
    <xf numFmtId="0" fontId="17" fillId="0" borderId="10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0" fontId="17" fillId="0" borderId="11" xfId="2" applyFont="1" applyBorder="1" applyAlignment="1">
      <alignment horizontal="left" vertical="center"/>
    </xf>
    <xf numFmtId="164" fontId="17" fillId="7" borderId="10" xfId="2" applyNumberFormat="1" applyFont="1" applyFill="1" applyBorder="1" applyAlignment="1">
      <alignment horizontal="center"/>
    </xf>
    <xf numFmtId="164" fontId="17" fillId="7" borderId="0" xfId="2" applyNumberFormat="1" applyFont="1" applyFill="1" applyAlignment="1">
      <alignment horizontal="center"/>
    </xf>
    <xf numFmtId="0" fontId="0" fillId="0" borderId="25" xfId="0" applyBorder="1" applyProtection="1">
      <protection locked="0"/>
    </xf>
    <xf numFmtId="3" fontId="3" fillId="0" borderId="25" xfId="2" applyNumberFormat="1" applyBorder="1" applyAlignment="1" applyProtection="1">
      <alignment horizontal="center" vertical="center"/>
      <protection locked="0"/>
    </xf>
    <xf numFmtId="0" fontId="17" fillId="0" borderId="7" xfId="2" applyFont="1" applyBorder="1" applyAlignment="1">
      <alignment horizontal="center"/>
    </xf>
    <xf numFmtId="0" fontId="17" fillId="0" borderId="2" xfId="2" applyFont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2" fillId="6" borderId="0" xfId="0" applyFont="1" applyFill="1" applyAlignment="1" applyProtection="1">
      <alignment horizontal="center"/>
      <protection locked="0"/>
    </xf>
    <xf numFmtId="2" fontId="17" fillId="7" borderId="11" xfId="2" applyNumberFormat="1" applyFont="1" applyFill="1" applyBorder="1" applyAlignment="1">
      <alignment horizont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2" applyFont="1" applyAlignment="1" applyProtection="1">
      <alignment horizontal="left" vertical="center"/>
      <protection hidden="1"/>
    </xf>
    <xf numFmtId="0" fontId="9" fillId="0" borderId="0" xfId="2" applyFont="1" applyAlignment="1" applyProtection="1">
      <alignment horizontal="center"/>
      <protection hidden="1"/>
    </xf>
    <xf numFmtId="0" fontId="9" fillId="0" borderId="0" xfId="2" applyFont="1" applyProtection="1">
      <protection hidden="1"/>
    </xf>
    <xf numFmtId="0" fontId="0" fillId="6" borderId="0" xfId="0" applyFill="1" applyAlignment="1" applyProtection="1">
      <alignment horizontal="center"/>
      <protection locked="0"/>
    </xf>
    <xf numFmtId="168" fontId="0" fillId="6" borderId="0" xfId="0" applyNumberFormat="1" applyFill="1" applyAlignment="1" applyProtection="1">
      <alignment horizontal="center"/>
      <protection locked="0"/>
    </xf>
    <xf numFmtId="0" fontId="3" fillId="0" borderId="24" xfId="2" applyBorder="1" applyAlignment="1">
      <alignment vertical="center"/>
    </xf>
    <xf numFmtId="2" fontId="3" fillId="6" borderId="12" xfId="2" applyNumberForma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Border="1" applyAlignment="1">
      <alignment vertical="center"/>
    </xf>
    <xf numFmtId="3" fontId="3" fillId="8" borderId="22" xfId="2" applyNumberFormat="1" applyFill="1" applyBorder="1" applyAlignment="1">
      <alignment horizontal="center"/>
    </xf>
    <xf numFmtId="2" fontId="3" fillId="8" borderId="21" xfId="2" applyNumberFormat="1" applyFill="1" applyBorder="1" applyAlignment="1">
      <alignment horizontal="center"/>
    </xf>
    <xf numFmtId="0" fontId="2" fillId="8" borderId="23" xfId="2" applyFont="1" applyFill="1" applyBorder="1" applyAlignment="1">
      <alignment horizontal="left" vertical="center" indent="1"/>
    </xf>
    <xf numFmtId="3" fontId="3" fillId="8" borderId="25" xfId="2" applyNumberFormat="1" applyFill="1" applyBorder="1" applyAlignment="1">
      <alignment horizontal="center" vertical="center"/>
    </xf>
    <xf numFmtId="2" fontId="3" fillId="8" borderId="27" xfId="2" applyNumberFormat="1" applyFill="1" applyBorder="1" applyAlignment="1">
      <alignment horizontal="center" vertical="center"/>
    </xf>
    <xf numFmtId="0" fontId="2" fillId="8" borderId="32" xfId="2" applyFont="1" applyFill="1" applyBorder="1" applyAlignment="1">
      <alignment horizontal="left" vertical="center" indent="1"/>
    </xf>
    <xf numFmtId="3" fontId="3" fillId="8" borderId="29" xfId="2" applyNumberFormat="1" applyFill="1" applyBorder="1" applyAlignment="1" applyProtection="1">
      <alignment horizontal="center" vertical="center"/>
      <protection locked="0"/>
    </xf>
    <xf numFmtId="2" fontId="3" fillId="8" borderId="28" xfId="2" applyNumberFormat="1" applyFill="1" applyBorder="1" applyAlignment="1">
      <alignment horizontal="center" vertical="center"/>
    </xf>
    <xf numFmtId="3" fontId="3" fillId="8" borderId="28" xfId="2" applyNumberFormat="1" applyFill="1" applyBorder="1" applyAlignment="1">
      <alignment horizontal="center" vertical="center"/>
    </xf>
    <xf numFmtId="0" fontId="2" fillId="5" borderId="12" xfId="2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9" xfId="2" applyFont="1" applyBorder="1" applyAlignment="1">
      <alignment horizontal="center" vertical="center"/>
    </xf>
    <xf numFmtId="0" fontId="3" fillId="0" borderId="26" xfId="2" applyBorder="1" applyAlignment="1">
      <alignment horizontal="center"/>
    </xf>
    <xf numFmtId="0" fontId="0" fillId="0" borderId="26" xfId="0" applyBorder="1" applyProtection="1">
      <protection locked="0"/>
    </xf>
    <xf numFmtId="0" fontId="0" fillId="0" borderId="26" xfId="0" applyBorder="1"/>
    <xf numFmtId="0" fontId="3" fillId="0" borderId="24" xfId="2" applyBorder="1" applyAlignment="1" applyProtection="1">
      <alignment horizontal="right" vertical="center"/>
      <protection locked="0"/>
    </xf>
    <xf numFmtId="0" fontId="0" fillId="0" borderId="23" xfId="0" applyBorder="1"/>
    <xf numFmtId="0" fontId="3" fillId="0" borderId="24" xfId="2" applyBorder="1" applyAlignment="1" applyProtection="1">
      <alignment horizontal="right"/>
      <protection locked="0"/>
    </xf>
    <xf numFmtId="0" fontId="3" fillId="0" borderId="25" xfId="2" applyBorder="1" applyAlignment="1" applyProtection="1">
      <alignment horizontal="center"/>
      <protection locked="0"/>
    </xf>
    <xf numFmtId="0" fontId="3" fillId="0" borderId="14" xfId="2" applyBorder="1"/>
    <xf numFmtId="0" fontId="3" fillId="0" borderId="18" xfId="2" applyBorder="1" applyAlignment="1">
      <alignment horizontal="right"/>
    </xf>
    <xf numFmtId="0" fontId="0" fillId="0" borderId="30" xfId="0" applyBorder="1"/>
    <xf numFmtId="3" fontId="3" fillId="8" borderId="35" xfId="2" applyNumberFormat="1" applyFill="1" applyBorder="1" applyAlignment="1" applyProtection="1">
      <alignment horizontal="center" vertical="center"/>
      <protection locked="0"/>
    </xf>
    <xf numFmtId="2" fontId="3" fillId="8" borderId="35" xfId="2" applyNumberFormat="1" applyFill="1" applyBorder="1" applyAlignment="1">
      <alignment horizontal="center" vertical="center"/>
    </xf>
    <xf numFmtId="3" fontId="3" fillId="8" borderId="35" xfId="2" applyNumberFormat="1" applyFill="1" applyBorder="1" applyAlignment="1">
      <alignment horizontal="right" vertical="center" indent="1"/>
    </xf>
    <xf numFmtId="0" fontId="0" fillId="8" borderId="35" xfId="0" applyFill="1" applyBorder="1" applyProtection="1">
      <protection locked="0"/>
    </xf>
    <xf numFmtId="0" fontId="0" fillId="8" borderId="35" xfId="0" applyFill="1" applyBorder="1"/>
    <xf numFmtId="3" fontId="3" fillId="8" borderId="25" xfId="2" applyNumberFormat="1" applyFill="1" applyBorder="1" applyAlignment="1" applyProtection="1">
      <alignment horizontal="center" vertical="center"/>
      <protection locked="0"/>
    </xf>
    <xf numFmtId="2" fontId="3" fillId="8" borderId="25" xfId="2" applyNumberFormat="1" applyFill="1" applyBorder="1" applyAlignment="1">
      <alignment horizontal="center" vertical="center"/>
    </xf>
    <xf numFmtId="0" fontId="0" fillId="8" borderId="25" xfId="0" applyFill="1" applyBorder="1" applyProtection="1">
      <protection locked="0"/>
    </xf>
    <xf numFmtId="0" fontId="0" fillId="8" borderId="25" xfId="0" applyFill="1" applyBorder="1"/>
    <xf numFmtId="0" fontId="3" fillId="8" borderId="30" xfId="2" applyFill="1" applyBorder="1" applyAlignment="1">
      <alignment horizontal="left" vertical="center" indent="1"/>
    </xf>
    <xf numFmtId="0" fontId="2" fillId="8" borderId="34" xfId="2" applyFont="1" applyFill="1" applyBorder="1" applyAlignment="1">
      <alignment horizontal="right" vertical="center"/>
    </xf>
    <xf numFmtId="3" fontId="3" fillId="8" borderId="35" xfId="2" applyNumberFormat="1" applyFill="1" applyBorder="1" applyAlignment="1">
      <alignment horizontal="center" vertical="center"/>
    </xf>
    <xf numFmtId="2" fontId="3" fillId="8" borderId="26" xfId="2" applyNumberFormat="1" applyFill="1" applyBorder="1" applyAlignment="1">
      <alignment horizontal="center" vertical="center"/>
    </xf>
    <xf numFmtId="3" fontId="3" fillId="8" borderId="26" xfId="2" applyNumberFormat="1" applyFill="1" applyBorder="1" applyAlignment="1">
      <alignment horizontal="center" vertical="center"/>
    </xf>
    <xf numFmtId="0" fontId="2" fillId="8" borderId="14" xfId="2" applyFont="1" applyFill="1" applyBorder="1" applyAlignment="1">
      <alignment horizontal="left" vertical="center" indent="1"/>
    </xf>
    <xf numFmtId="0" fontId="3" fillId="8" borderId="18" xfId="2" applyFill="1" applyBorder="1" applyAlignment="1">
      <alignment horizontal="left" vertical="center"/>
    </xf>
    <xf numFmtId="0" fontId="37" fillId="6" borderId="0" xfId="0" applyFont="1" applyFill="1"/>
    <xf numFmtId="49" fontId="3" fillId="0" borderId="0" xfId="0" applyNumberFormat="1" applyFont="1"/>
    <xf numFmtId="0" fontId="3" fillId="0" borderId="24" xfId="2" applyBorder="1" applyAlignment="1">
      <alignment horizontal="right" vertical="center"/>
    </xf>
    <xf numFmtId="0" fontId="0" fillId="0" borderId="25" xfId="0" applyBorder="1"/>
    <xf numFmtId="0" fontId="3" fillId="0" borderId="25" xfId="0" applyFont="1" applyBorder="1"/>
    <xf numFmtId="0" fontId="3" fillId="0" borderId="24" xfId="2" applyBorder="1" applyAlignment="1">
      <alignment horizontal="right"/>
    </xf>
    <xf numFmtId="0" fontId="0" fillId="0" borderId="29" xfId="0" applyBorder="1"/>
    <xf numFmtId="3" fontId="3" fillId="8" borderId="29" xfId="2" applyNumberForma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2" fontId="3" fillId="6" borderId="12" xfId="2" applyNumberFormat="1" applyFill="1" applyBorder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2" fillId="8" borderId="19" xfId="2" applyFont="1" applyFill="1" applyBorder="1" applyAlignment="1">
      <alignment horizontal="left" indent="1"/>
    </xf>
    <xf numFmtId="0" fontId="3" fillId="8" borderId="20" xfId="2" applyFill="1" applyBorder="1" applyAlignment="1">
      <alignment horizontal="left" indent="1"/>
    </xf>
    <xf numFmtId="0" fontId="3" fillId="8" borderId="24" xfId="2" applyFill="1" applyBorder="1" applyAlignment="1">
      <alignment horizontal="left" vertical="center" indent="1"/>
    </xf>
    <xf numFmtId="0" fontId="3" fillId="8" borderId="33" xfId="2" applyFill="1" applyBorder="1" applyAlignment="1">
      <alignment horizontal="left" vertical="center" indent="1"/>
    </xf>
    <xf numFmtId="0" fontId="2" fillId="8" borderId="6" xfId="2" applyFont="1" applyFill="1" applyBorder="1" applyAlignment="1">
      <alignment horizontal="left" vertical="center" indent="1"/>
    </xf>
    <xf numFmtId="0" fontId="2" fillId="8" borderId="7" xfId="2" applyFont="1" applyFill="1" applyBorder="1" applyAlignment="1">
      <alignment horizontal="left" vertical="center" indent="1"/>
    </xf>
    <xf numFmtId="3" fontId="9" fillId="8" borderId="9" xfId="2" applyNumberFormat="1" applyFont="1" applyFill="1" applyBorder="1" applyAlignment="1">
      <alignment horizontal="center" vertical="center"/>
    </xf>
    <xf numFmtId="0" fontId="9" fillId="8" borderId="9" xfId="2" applyFont="1" applyFill="1" applyBorder="1"/>
    <xf numFmtId="3" fontId="9" fillId="8" borderId="9" xfId="2" applyNumberFormat="1" applyFont="1" applyFill="1" applyBorder="1" applyAlignment="1">
      <alignment horizontal="right" vertical="center" indent="1"/>
    </xf>
    <xf numFmtId="0" fontId="0" fillId="8" borderId="9" xfId="0" applyFill="1" applyBorder="1"/>
    <xf numFmtId="0" fontId="2" fillId="0" borderId="16" xfId="2" applyFont="1" applyBorder="1" applyAlignment="1">
      <alignment horizontal="left" vertical="center"/>
    </xf>
    <xf numFmtId="0" fontId="36" fillId="0" borderId="16" xfId="2" applyFont="1" applyBorder="1" applyAlignment="1">
      <alignment horizontal="left" vertical="center"/>
    </xf>
    <xf numFmtId="0" fontId="37" fillId="0" borderId="0" xfId="0" applyFont="1"/>
    <xf numFmtId="0" fontId="2" fillId="0" borderId="0" xfId="2" applyFont="1" applyAlignment="1">
      <alignment horizontal="left" vertical="center" indent="1"/>
    </xf>
    <xf numFmtId="0" fontId="3" fillId="0" borderId="24" xfId="2" applyBorder="1" applyAlignment="1" applyProtection="1">
      <alignment horizontal="left" vertical="center"/>
      <protection locked="0"/>
    </xf>
    <xf numFmtId="0" fontId="3" fillId="0" borderId="23" xfId="2" applyBorder="1" applyAlignment="1">
      <alignment horizontal="left" vertical="center"/>
    </xf>
    <xf numFmtId="0" fontId="3" fillId="0" borderId="1" xfId="2" applyBorder="1"/>
    <xf numFmtId="0" fontId="3" fillId="0" borderId="0" xfId="2" applyAlignment="1">
      <alignment horizontal="right"/>
    </xf>
    <xf numFmtId="0" fontId="3" fillId="0" borderId="36" xfId="2" applyBorder="1" applyAlignment="1">
      <alignment horizontal="center"/>
    </xf>
    <xf numFmtId="2" fontId="3" fillId="8" borderId="36" xfId="2" applyNumberFormat="1" applyFill="1" applyBorder="1" applyAlignment="1">
      <alignment horizontal="center" vertical="center"/>
    </xf>
    <xf numFmtId="3" fontId="3" fillId="8" borderId="36" xfId="2" applyNumberFormat="1" applyFill="1" applyBorder="1" applyAlignment="1">
      <alignment horizontal="center" vertical="center"/>
    </xf>
    <xf numFmtId="0" fontId="0" fillId="0" borderId="36" xfId="0" applyBorder="1" applyProtection="1">
      <protection locked="0"/>
    </xf>
    <xf numFmtId="0" fontId="0" fillId="0" borderId="36" xfId="0" applyBorder="1"/>
    <xf numFmtId="3" fontId="0" fillId="0" borderId="0" xfId="0" applyNumberFormat="1"/>
    <xf numFmtId="0" fontId="0" fillId="8" borderId="26" xfId="0" applyFill="1" applyBorder="1"/>
    <xf numFmtId="0" fontId="2" fillId="5" borderId="17" xfId="2" applyFont="1" applyFill="1" applyBorder="1" applyAlignment="1">
      <alignment horizontal="left" vertical="center"/>
    </xf>
    <xf numFmtId="3" fontId="2" fillId="5" borderId="12" xfId="2" applyNumberFormat="1" applyFont="1" applyFill="1" applyBorder="1" applyAlignment="1">
      <alignment horizontal="center" vertical="center"/>
    </xf>
    <xf numFmtId="2" fontId="2" fillId="5" borderId="5" xfId="2" applyNumberFormat="1" applyFont="1" applyFill="1" applyBorder="1" applyAlignment="1">
      <alignment horizontal="center" vertical="center"/>
    </xf>
    <xf numFmtId="0" fontId="2" fillId="5" borderId="12" xfId="0" applyFont="1" applyFill="1" applyBorder="1"/>
    <xf numFmtId="3" fontId="0" fillId="0" borderId="1" xfId="0" applyNumberFormat="1" applyBorder="1"/>
    <xf numFmtId="3" fontId="3" fillId="0" borderId="26" xfId="2" applyNumberForma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/>
    </xf>
    <xf numFmtId="2" fontId="2" fillId="7" borderId="12" xfId="2" applyNumberFormat="1" applyFont="1" applyFill="1" applyBorder="1" applyAlignment="1">
      <alignment horizontal="center" vertical="center"/>
    </xf>
    <xf numFmtId="0" fontId="0" fillId="0" borderId="13" xfId="0" applyBorder="1"/>
    <xf numFmtId="0" fontId="3" fillId="0" borderId="25" xfId="0" applyFont="1" applyBorder="1" applyProtection="1">
      <protection locked="0"/>
    </xf>
    <xf numFmtId="0" fontId="0" fillId="0" borderId="29" xfId="0" applyBorder="1" applyProtection="1">
      <protection locked="0"/>
    </xf>
    <xf numFmtId="2" fontId="3" fillId="0" borderId="25" xfId="2" applyNumberFormat="1" applyBorder="1" applyAlignment="1" applyProtection="1">
      <alignment horizontal="center" vertical="center"/>
      <protection locked="0"/>
    </xf>
    <xf numFmtId="3" fontId="3" fillId="0" borderId="26" xfId="2" applyNumberFormat="1" applyBorder="1" applyAlignment="1" applyProtection="1">
      <alignment horizontal="center" vertical="center"/>
      <protection locked="0"/>
    </xf>
    <xf numFmtId="0" fontId="0" fillId="0" borderId="13" xfId="0" applyBorder="1" applyProtection="1">
      <protection locked="0"/>
    </xf>
    <xf numFmtId="164" fontId="0" fillId="0" borderId="0" xfId="0" applyNumberFormat="1"/>
    <xf numFmtId="0" fontId="0" fillId="6" borderId="0" xfId="0" applyFill="1" applyProtection="1">
      <protection locked="0"/>
    </xf>
    <xf numFmtId="164" fontId="2" fillId="0" borderId="0" xfId="0" applyNumberFormat="1" applyFont="1"/>
    <xf numFmtId="49" fontId="0" fillId="0" borderId="0" xfId="0" applyNumberFormat="1"/>
    <xf numFmtId="0" fontId="3" fillId="8" borderId="23" xfId="2" applyFill="1" applyBorder="1" applyAlignment="1">
      <alignment horizontal="left" vertical="center" indent="1"/>
    </xf>
    <xf numFmtId="0" fontId="3" fillId="8" borderId="27" xfId="2" applyFill="1" applyBorder="1" applyAlignment="1">
      <alignment horizontal="left" vertical="center" indent="1"/>
    </xf>
    <xf numFmtId="0" fontId="31" fillId="0" borderId="0" xfId="2" applyFont="1" applyAlignment="1">
      <alignment horizontal="left" vertical="top" wrapText="1" indent="2"/>
    </xf>
    <xf numFmtId="0" fontId="2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6" xfId="2" applyFont="1" applyBorder="1" applyAlignment="1">
      <alignment horizontal="left" vertical="center" wrapText="1" indent="1"/>
    </xf>
    <xf numFmtId="0" fontId="2" fillId="0" borderId="10" xfId="2" applyFont="1" applyBorder="1" applyAlignment="1">
      <alignment horizontal="left" vertical="center" indent="1"/>
    </xf>
    <xf numFmtId="0" fontId="3" fillId="0" borderId="3" xfId="2" applyBorder="1" applyAlignment="1">
      <alignment horizontal="left" vertical="center" indent="1"/>
    </xf>
    <xf numFmtId="0" fontId="3" fillId="0" borderId="11" xfId="2" applyBorder="1" applyAlignment="1">
      <alignment horizontal="left" vertical="center" indent="1"/>
    </xf>
    <xf numFmtId="0" fontId="3" fillId="8" borderId="30" xfId="2" applyFill="1" applyBorder="1" applyAlignment="1">
      <alignment horizontal="left" vertical="center" indent="1"/>
    </xf>
    <xf numFmtId="0" fontId="3" fillId="8" borderId="31" xfId="2" applyFill="1" applyBorder="1" applyAlignment="1">
      <alignment horizontal="left" vertical="center" indent="1"/>
    </xf>
    <xf numFmtId="0" fontId="31" fillId="0" borderId="0" xfId="2" applyFont="1" applyAlignment="1">
      <alignment horizontal="left" vertical="center" wrapText="1"/>
    </xf>
    <xf numFmtId="0" fontId="3" fillId="6" borderId="0" xfId="0" applyFont="1" applyFill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26" fillId="3" borderId="0" xfId="0" applyFont="1" applyFill="1" applyAlignment="1">
      <alignment horizontal="left" vertical="center" wrapText="1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28" fillId="4" borderId="6" xfId="0" applyFont="1" applyFill="1" applyBorder="1" applyAlignment="1">
      <alignment horizontal="left" vertical="center"/>
    </xf>
    <xf numFmtId="0" fontId="28" fillId="4" borderId="10" xfId="0" applyFont="1" applyFill="1" applyBorder="1" applyAlignment="1">
      <alignment horizontal="left" vertical="center"/>
    </xf>
    <xf numFmtId="0" fontId="28" fillId="4" borderId="7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 applyProtection="1">
      <alignment horizontal="left" vertical="center"/>
      <protection locked="0"/>
    </xf>
    <xf numFmtId="0" fontId="21" fillId="2" borderId="17" xfId="0" applyFont="1" applyFill="1" applyBorder="1" applyAlignment="1" applyProtection="1">
      <alignment horizontal="left" vertical="center"/>
      <protection locked="0"/>
    </xf>
    <xf numFmtId="0" fontId="21" fillId="2" borderId="5" xfId="0" applyFont="1" applyFill="1" applyBorder="1" applyAlignment="1" applyProtection="1">
      <alignment horizontal="left" vertical="center"/>
      <protection locked="0"/>
    </xf>
    <xf numFmtId="2" fontId="9" fillId="3" borderId="0" xfId="0" applyNumberFormat="1" applyFont="1" applyFill="1" applyAlignment="1">
      <alignment horizontal="left" vertical="center"/>
    </xf>
    <xf numFmtId="0" fontId="21" fillId="2" borderId="12" xfId="0" applyFont="1" applyFill="1" applyBorder="1" applyAlignment="1" applyProtection="1">
      <alignment horizontal="left" vertical="center"/>
      <protection locked="0"/>
    </xf>
    <xf numFmtId="0" fontId="29" fillId="4" borderId="6" xfId="0" applyFont="1" applyFill="1" applyBorder="1" applyAlignment="1">
      <alignment horizontal="left" vertical="top" wrapText="1"/>
    </xf>
    <xf numFmtId="0" fontId="29" fillId="4" borderId="10" xfId="0" applyFont="1" applyFill="1" applyBorder="1" applyAlignment="1">
      <alignment horizontal="left" vertical="top" wrapText="1"/>
    </xf>
    <xf numFmtId="0" fontId="29" fillId="4" borderId="7" xfId="0" applyFont="1" applyFill="1" applyBorder="1" applyAlignment="1">
      <alignment horizontal="left" vertical="top" wrapText="1"/>
    </xf>
    <xf numFmtId="0" fontId="16" fillId="3" borderId="0" xfId="1" applyFont="1" applyFill="1" applyBorder="1" applyAlignment="1" applyProtection="1">
      <alignment horizontal="center" vertical="center" wrapText="1"/>
    </xf>
    <xf numFmtId="0" fontId="16" fillId="3" borderId="2" xfId="1" applyFont="1" applyFill="1" applyBorder="1" applyAlignment="1" applyProtection="1">
      <alignment horizontal="center" vertical="center" wrapText="1"/>
    </xf>
    <xf numFmtId="0" fontId="16" fillId="3" borderId="11" xfId="1" applyFont="1" applyFill="1" applyBorder="1" applyAlignment="1" applyProtection="1">
      <alignment horizontal="center" vertical="center" wrapText="1"/>
    </xf>
    <xf numFmtId="0" fontId="16" fillId="3" borderId="4" xfId="1" applyFont="1" applyFill="1" applyBorder="1" applyAlignment="1" applyProtection="1">
      <alignment horizontal="center" vertical="center" wrapText="1"/>
    </xf>
    <xf numFmtId="2" fontId="9" fillId="3" borderId="11" xfId="0" applyNumberFormat="1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8" fillId="4" borderId="19" xfId="0" applyFont="1" applyFill="1" applyBorder="1" applyAlignment="1">
      <alignment horizontal="left" vertical="center"/>
    </xf>
    <xf numFmtId="0" fontId="28" fillId="4" borderId="20" xfId="0" applyFont="1" applyFill="1" applyBorder="1" applyAlignment="1">
      <alignment horizontal="left" vertical="center"/>
    </xf>
    <xf numFmtId="0" fontId="28" fillId="4" borderId="2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1" fillId="0" borderId="0" xfId="2" applyFont="1" applyAlignment="1">
      <alignment horizontal="center" vertical="center" wrapText="1"/>
    </xf>
  </cellXfs>
  <cellStyles count="3">
    <cellStyle name="Link" xfId="1" builtinId="8"/>
    <cellStyle name="Normal 3" xfId="2" xr:uid="{00000000-0005-0000-0000-000002000000}"/>
    <cellStyle name="Standard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CC"/>
      <color rgb="FFFFE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Dimensionnierung des Rückhaltevolumens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774180682253342"/>
          <c:y val="0.13794846613581535"/>
          <c:w val="0.69706479903218344"/>
          <c:h val="0.63577225623759481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'B1'!$F$5:$F$39</c:f>
              <c:numCache>
                <c:formatCode>General</c:formatCode>
                <c:ptCount val="35"/>
                <c:pt idx="0" formatCode="0.00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</c:numCache>
            </c:numRef>
          </c:xVal>
          <c:yVal>
            <c:numRef>
              <c:f>'B1'!$J$5:$J$38</c:f>
              <c:numCache>
                <c:formatCode>General</c:formatCode>
                <c:ptCount val="34"/>
                <c:pt idx="0">
                  <c:v>312.53268311738407</c:v>
                </c:pt>
                <c:pt idx="1">
                  <c:v>282.77366777227093</c:v>
                </c:pt>
                <c:pt idx="2">
                  <c:v>243.22920623476821</c:v>
                </c:pt>
                <c:pt idx="3">
                  <c:v>214.90434472424101</c:v>
                </c:pt>
                <c:pt idx="4">
                  <c:v>192.38717554454183</c:v>
                </c:pt>
                <c:pt idx="5">
                  <c:v>173.58144181267684</c:v>
                </c:pt>
                <c:pt idx="6">
                  <c:v>157.41205537686557</c:v>
                </c:pt>
                <c:pt idx="7">
                  <c:v>143.24036456156713</c:v>
                </c:pt>
                <c:pt idx="8">
                  <c:v>130.65025246953647</c:v>
                </c:pt>
                <c:pt idx="9">
                  <c:v>119.35268331681269</c:v>
                </c:pt>
                <c:pt idx="10">
                  <c:v>109.13721190840683</c:v>
                </c:pt>
                <c:pt idx="11">
                  <c:v>99.844969120877636</c:v>
                </c:pt>
                <c:pt idx="12">
                  <c:v>91.352529448482031</c:v>
                </c:pt>
                <c:pt idx="13">
                  <c:v>83.561739065818685</c:v>
                </c:pt>
                <c:pt idx="14">
                  <c:v>76.393015228579799</c:v>
                </c:pt>
                <c:pt idx="15">
                  <c:v>69.78077034481241</c:v>
                </c:pt>
                <c:pt idx="16">
                  <c:v>63.670191089083616</c:v>
                </c:pt>
                <c:pt idx="17">
                  <c:v>58.014912192426706</c:v>
                </c:pt>
                <c:pt idx="18">
                  <c:v>52.77529870430471</c:v>
                </c:pt>
                <c:pt idx="19">
                  <c:v>47.917152815727682</c:v>
                </c:pt>
                <c:pt idx="20">
                  <c:v>43.410723625353604</c:v>
                </c:pt>
                <c:pt idx="21">
                  <c:v>39.229937376583088</c:v>
                </c:pt>
                <c:pt idx="22">
                  <c:v>35.351790983217278</c:v>
                </c:pt>
                <c:pt idx="23">
                  <c:v>31.755868403813196</c:v>
                </c:pt>
                <c:pt idx="24">
                  <c:v>28.423950753731102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F7-4B94-BA1F-1AF496BC73C6}"/>
            </c:ext>
          </c:extLst>
        </c:ser>
        <c:ser>
          <c:idx val="1"/>
          <c:order val="1"/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'B1'!$L$6:$L$9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'B1'!$M$6:$M$9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F7-4B94-BA1F-1AF496BC7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582656"/>
        <c:axId val="399584616"/>
      </c:scatterChart>
      <c:valAx>
        <c:axId val="399582656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US" sz="900" b="1" i="0" u="none" strike="noStrike" baseline="0"/>
                  <a:t>Spez. Abflussmenge (Versickerung oder regulierter Abfluss) </a:t>
                </a:r>
                <a:r>
                  <a:rPr lang="en-US" sz="900" baseline="0">
                    <a:latin typeface="Arial" pitchFamily="34" charset="0"/>
                    <a:cs typeface="Arial" pitchFamily="34" charset="0"/>
                  </a:rPr>
                  <a:t> [l/(s*ha</a:t>
                </a:r>
                <a:r>
                  <a:rPr lang="en-US" sz="900" baseline="-25000">
                    <a:latin typeface="Arial" pitchFamily="34" charset="0"/>
                    <a:cs typeface="Arial" pitchFamily="34" charset="0"/>
                  </a:rPr>
                  <a:t>réd</a:t>
                </a:r>
                <a:r>
                  <a:rPr lang="en-US" sz="900" baseline="0">
                    <a:latin typeface="Arial" pitchFamily="34" charset="0"/>
                    <a:cs typeface="Arial" pitchFamily="34" charset="0"/>
                  </a:rPr>
                  <a:t>)]</a:t>
                </a:r>
                <a:endParaRPr lang="en-US" sz="90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99584616"/>
        <c:crosses val="autoZero"/>
        <c:crossBetween val="midCat"/>
        <c:majorUnit val="50"/>
        <c:minorUnit val="50"/>
      </c:valAx>
      <c:valAx>
        <c:axId val="39958461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US" sz="900" b="1" i="0" u="none" strike="noStrike" baseline="0"/>
                  <a:t>Spezifisches Rückhaltevolumen </a:t>
                </a:r>
                <a:r>
                  <a:rPr lang="en-US" sz="900">
                    <a:latin typeface="Arial" pitchFamily="34" charset="0"/>
                    <a:cs typeface="Arial" pitchFamily="34" charset="0"/>
                  </a:rPr>
                  <a:t>[m</a:t>
                </a:r>
                <a:r>
                  <a:rPr lang="en-US" sz="900" baseline="30000">
                    <a:latin typeface="Arial" pitchFamily="34" charset="0"/>
                    <a:cs typeface="Arial" pitchFamily="34" charset="0"/>
                  </a:rPr>
                  <a:t>3</a:t>
                </a:r>
                <a:r>
                  <a:rPr lang="en-US" sz="900">
                    <a:latin typeface="Arial" pitchFamily="34" charset="0"/>
                    <a:cs typeface="Arial" pitchFamily="34" charset="0"/>
                  </a:rPr>
                  <a:t>/ha</a:t>
                </a:r>
                <a:r>
                  <a:rPr lang="en-US" sz="900" baseline="-25000">
                    <a:latin typeface="Arial" pitchFamily="34" charset="0"/>
                    <a:cs typeface="Arial" pitchFamily="34" charset="0"/>
                  </a:rPr>
                  <a:t>réd</a:t>
                </a:r>
                <a:r>
                  <a:rPr lang="en-US" sz="900">
                    <a:latin typeface="Arial" pitchFamily="34" charset="0"/>
                    <a:cs typeface="Arial" pitchFamily="34" charset="0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2.9100432958700677E-2"/>
              <c:y val="0.1583198611801431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399582656"/>
        <c:crosses val="autoZero"/>
        <c:crossBetween val="midCat"/>
        <c:majorUnit val="50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ln w="19050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Dimensionnierung des Rückhaltevolumens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558266190317146"/>
          <c:y val="0.13794846613581535"/>
          <c:w val="0.65907453343891076"/>
          <c:h val="0.635772256237594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'B2'!$C$17</c:f>
              <c:strCache>
                <c:ptCount val="1"/>
                <c:pt idx="0">
                  <c:v>5 Jahre</c:v>
                </c:pt>
              </c:strCache>
            </c:strRef>
          </c:tx>
          <c:marker>
            <c:symbol val="none"/>
          </c:marker>
          <c:xVal>
            <c:numRef>
              <c:f>'B2'!$F$5:$F$47</c:f>
              <c:numCache>
                <c:formatCode>General</c:formatCode>
                <c:ptCount val="43"/>
                <c:pt idx="0" formatCode="0.00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</c:numCache>
            </c:numRef>
          </c:xVal>
          <c:yVal>
            <c:numRef>
              <c:f>'B2'!$J$5:$J$47</c:f>
              <c:numCache>
                <c:formatCode>General</c:formatCode>
                <c:ptCount val="43"/>
                <c:pt idx="0">
                  <c:v>312.53268311738407</c:v>
                </c:pt>
                <c:pt idx="1">
                  <c:v>282.77366777227093</c:v>
                </c:pt>
                <c:pt idx="2">
                  <c:v>243.22920623476821</c:v>
                </c:pt>
                <c:pt idx="3">
                  <c:v>214.90434472424101</c:v>
                </c:pt>
                <c:pt idx="4">
                  <c:v>192.38717554454183</c:v>
                </c:pt>
                <c:pt idx="5">
                  <c:v>173.58144181267684</c:v>
                </c:pt>
                <c:pt idx="6">
                  <c:v>157.41205537686557</c:v>
                </c:pt>
                <c:pt idx="7">
                  <c:v>143.24036456156713</c:v>
                </c:pt>
                <c:pt idx="8">
                  <c:v>130.65025246953647</c:v>
                </c:pt>
                <c:pt idx="9">
                  <c:v>119.35268331681269</c:v>
                </c:pt>
                <c:pt idx="10">
                  <c:v>109.13721190840683</c:v>
                </c:pt>
                <c:pt idx="11">
                  <c:v>99.844969120877636</c:v>
                </c:pt>
                <c:pt idx="12">
                  <c:v>91.352529448482031</c:v>
                </c:pt>
                <c:pt idx="13">
                  <c:v>83.561739065818685</c:v>
                </c:pt>
                <c:pt idx="14">
                  <c:v>76.393015228579799</c:v>
                </c:pt>
                <c:pt idx="15">
                  <c:v>69.78077034481241</c:v>
                </c:pt>
                <c:pt idx="16">
                  <c:v>63.670191089083616</c:v>
                </c:pt>
                <c:pt idx="17">
                  <c:v>58.014912192426706</c:v>
                </c:pt>
                <c:pt idx="18">
                  <c:v>52.77529870430471</c:v>
                </c:pt>
                <c:pt idx="19">
                  <c:v>47.917152815727682</c:v>
                </c:pt>
                <c:pt idx="20">
                  <c:v>43.410723625353604</c:v>
                </c:pt>
                <c:pt idx="21">
                  <c:v>39.229937376583088</c:v>
                </c:pt>
                <c:pt idx="22">
                  <c:v>35.351790983217278</c:v>
                </c:pt>
                <c:pt idx="23">
                  <c:v>31.755868403813196</c:v>
                </c:pt>
                <c:pt idx="24">
                  <c:v>28.423950753731102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D0-40F5-BCE2-B70346D82401}"/>
            </c:ext>
          </c:extLst>
        </c:ser>
        <c:ser>
          <c:idx val="1"/>
          <c:order val="1"/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'B2'!$L$6:$L$9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'B2'!$M$6:$M$9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D0-40F5-BCE2-B70346D82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583832"/>
        <c:axId val="399585792"/>
      </c:scatterChart>
      <c:valAx>
        <c:axId val="399583832"/>
        <c:scaling>
          <c:orientation val="minMax"/>
          <c:max val="24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US" sz="900" b="1" i="0" u="none" strike="noStrike" baseline="0"/>
                  <a:t>Spez. Abflussmenge (Versickerung oder regulierter Abfluss) </a:t>
                </a:r>
                <a:r>
                  <a:rPr lang="en-US" sz="900" baseline="0">
                    <a:latin typeface="Arial" pitchFamily="34" charset="0"/>
                    <a:cs typeface="Arial" pitchFamily="34" charset="0"/>
                  </a:rPr>
                  <a:t> [l/(s*ha</a:t>
                </a:r>
                <a:r>
                  <a:rPr lang="en-US" sz="900" baseline="-25000">
                    <a:latin typeface="Arial" pitchFamily="34" charset="0"/>
                    <a:cs typeface="Arial" pitchFamily="34" charset="0"/>
                  </a:rPr>
                  <a:t>réd</a:t>
                </a:r>
                <a:r>
                  <a:rPr lang="en-US" sz="900" baseline="0">
                    <a:latin typeface="Arial" pitchFamily="34" charset="0"/>
                    <a:cs typeface="Arial" pitchFamily="34" charset="0"/>
                  </a:rPr>
                  <a:t>)]</a:t>
                </a:r>
                <a:endParaRPr lang="en-US" sz="90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99585792"/>
        <c:crosses val="autoZero"/>
        <c:crossBetween val="midCat"/>
        <c:minorUnit val="20"/>
      </c:valAx>
      <c:valAx>
        <c:axId val="399585792"/>
        <c:scaling>
          <c:orientation val="minMax"/>
          <c:max val="35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US" sz="900" b="1" i="0" u="none" strike="noStrike" baseline="0"/>
                  <a:t>Spezifisches Rückhaltevolumen </a:t>
                </a:r>
                <a:r>
                  <a:rPr lang="en-US" sz="900">
                    <a:latin typeface="Arial" pitchFamily="34" charset="0"/>
                    <a:cs typeface="Arial" pitchFamily="34" charset="0"/>
                  </a:rPr>
                  <a:t>[m</a:t>
                </a:r>
                <a:r>
                  <a:rPr lang="en-US" sz="900" baseline="30000">
                    <a:latin typeface="Arial" pitchFamily="34" charset="0"/>
                    <a:cs typeface="Arial" pitchFamily="34" charset="0"/>
                  </a:rPr>
                  <a:t>3</a:t>
                </a:r>
                <a:r>
                  <a:rPr lang="en-US" sz="900">
                    <a:latin typeface="Arial" pitchFamily="34" charset="0"/>
                    <a:cs typeface="Arial" pitchFamily="34" charset="0"/>
                  </a:rPr>
                  <a:t>/ha</a:t>
                </a:r>
                <a:r>
                  <a:rPr lang="en-US" sz="900" baseline="-25000">
                    <a:latin typeface="Arial" pitchFamily="34" charset="0"/>
                    <a:cs typeface="Arial" pitchFamily="34" charset="0"/>
                  </a:rPr>
                  <a:t>réd</a:t>
                </a:r>
                <a:r>
                  <a:rPr lang="en-US" sz="900">
                    <a:latin typeface="Arial" pitchFamily="34" charset="0"/>
                    <a:cs typeface="Arial" pitchFamily="34" charset="0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2.9100432958700677E-2"/>
              <c:y val="0.1583198611801431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399583832"/>
        <c:crosses val="autoZero"/>
        <c:crossBetween val="midCat"/>
        <c:majorUnit val="50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ln w="19050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</xdr:col>
      <xdr:colOff>578679</xdr:colOff>
      <xdr:row>4</xdr:row>
      <xdr:rowOff>48783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72" y="1"/>
          <a:ext cx="581025" cy="731065"/>
        </a:xfrm>
        <a:prstGeom prst="rect">
          <a:avLst/>
        </a:prstGeom>
      </xdr:spPr>
    </xdr:pic>
    <xdr:clientData/>
  </xdr:twoCellAnchor>
  <xdr:twoCellAnchor>
    <xdr:from>
      <xdr:col>1</xdr:col>
      <xdr:colOff>140677</xdr:colOff>
      <xdr:row>14</xdr:row>
      <xdr:rowOff>17583</xdr:rowOff>
    </xdr:from>
    <xdr:to>
      <xdr:col>2</xdr:col>
      <xdr:colOff>1318846</xdr:colOff>
      <xdr:row>17</xdr:row>
      <xdr:rowOff>123091</xdr:rowOff>
    </xdr:to>
    <xdr:sp macro="" textlink="">
      <xdr:nvSpPr>
        <xdr:cNvPr id="22" name="Rectangle à coins arrondis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219808" y="2180491"/>
          <a:ext cx="1846384" cy="580293"/>
        </a:xfrm>
        <a:prstGeom prst="wedgeRoundRectCallout">
          <a:avLst>
            <a:gd name="adj1" fmla="val 43159"/>
            <a:gd name="adj2" fmla="val -104893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H" sz="1100"/>
            <a:t>1.</a:t>
          </a:r>
          <a:r>
            <a:rPr lang="fr-CH" sz="1100" baseline="0"/>
            <a:t> Wählen Sie einen Flächentyp aus der Auswahlliste</a:t>
          </a:r>
          <a:endParaRPr lang="fr-CH" sz="1100"/>
        </a:p>
      </xdr:txBody>
    </xdr:sp>
    <xdr:clientData/>
  </xdr:twoCellAnchor>
  <xdr:twoCellAnchor>
    <xdr:from>
      <xdr:col>3</xdr:col>
      <xdr:colOff>90854</xdr:colOff>
      <xdr:row>14</xdr:row>
      <xdr:rowOff>55683</xdr:rowOff>
    </xdr:from>
    <xdr:to>
      <xdr:col>5</xdr:col>
      <xdr:colOff>246184</xdr:colOff>
      <xdr:row>18</xdr:row>
      <xdr:rowOff>2930</xdr:rowOff>
    </xdr:to>
    <xdr:sp macro="" textlink="">
      <xdr:nvSpPr>
        <xdr:cNvPr id="23" name="Rectangle à coins arrondis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2297723" y="2218591"/>
          <a:ext cx="1544515" cy="580293"/>
        </a:xfrm>
        <a:prstGeom prst="wedgeRoundRectCallout">
          <a:avLst>
            <a:gd name="adj1" fmla="val -34270"/>
            <a:gd name="adj2" fmla="val -107923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H" sz="1100"/>
            <a:t>2. Geben Sie die entsprechende</a:t>
          </a:r>
          <a:r>
            <a:rPr lang="fr-CH" sz="1100" baseline="0"/>
            <a:t> Fläche an.</a:t>
          </a:r>
          <a:endParaRPr lang="fr-CH" sz="1100"/>
        </a:p>
      </xdr:txBody>
    </xdr:sp>
    <xdr:clientData/>
  </xdr:twoCellAnchor>
  <xdr:twoCellAnchor>
    <xdr:from>
      <xdr:col>5</xdr:col>
      <xdr:colOff>577361</xdr:colOff>
      <xdr:row>14</xdr:row>
      <xdr:rowOff>41028</xdr:rowOff>
    </xdr:from>
    <xdr:to>
      <xdr:col>7</xdr:col>
      <xdr:colOff>501161</xdr:colOff>
      <xdr:row>19</xdr:row>
      <xdr:rowOff>46892</xdr:rowOff>
    </xdr:to>
    <xdr:sp macro="" textlink="">
      <xdr:nvSpPr>
        <xdr:cNvPr id="24" name="Rectangle à coins arrondis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4173415" y="2203936"/>
          <a:ext cx="2324100" cy="797171"/>
        </a:xfrm>
        <a:prstGeom prst="wedgeRoundRectCallout">
          <a:avLst>
            <a:gd name="adj1" fmla="val 5559"/>
            <a:gd name="adj2" fmla="val -90258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H" sz="1100"/>
            <a:t>3.</a:t>
          </a:r>
          <a:r>
            <a:rPr lang="fr-CH" sz="1100" baseline="0"/>
            <a:t> Wählen Sie ob die Fläche einer Versickerungs- oder Retentionsanlage angeschlossen wird. Falls nicht, belassen Sie das Feld leer.</a:t>
          </a:r>
          <a:endParaRPr lang="fr-CH" sz="1100"/>
        </a:p>
      </xdr:txBody>
    </xdr:sp>
    <xdr:clientData/>
  </xdr:twoCellAnchor>
  <xdr:twoCellAnchor>
    <xdr:from>
      <xdr:col>7</xdr:col>
      <xdr:colOff>791307</xdr:colOff>
      <xdr:row>14</xdr:row>
      <xdr:rowOff>17585</xdr:rowOff>
    </xdr:from>
    <xdr:to>
      <xdr:col>8</xdr:col>
      <xdr:colOff>96717</xdr:colOff>
      <xdr:row>17</xdr:row>
      <xdr:rowOff>131884</xdr:rowOff>
    </xdr:to>
    <xdr:sp macro="" textlink="">
      <xdr:nvSpPr>
        <xdr:cNvPr id="25" name="Rectangle à coins arrondis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6515100" y="2180493"/>
          <a:ext cx="1055078" cy="589084"/>
        </a:xfrm>
        <a:prstGeom prst="wedgeRoundRectCallout">
          <a:avLst>
            <a:gd name="adj1" fmla="val 8586"/>
            <a:gd name="adj2" fmla="val -94868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H" sz="1100"/>
            <a:t>4. (Optional)</a:t>
          </a:r>
        </a:p>
        <a:p>
          <a:pPr algn="l"/>
          <a:r>
            <a:rPr lang="fr-CH" sz="1100"/>
            <a:t>Persönlicher Kommentar</a:t>
          </a:r>
        </a:p>
      </xdr:txBody>
    </xdr:sp>
    <xdr:clientData/>
  </xdr:twoCellAnchor>
  <xdr:twoCellAnchor>
    <xdr:from>
      <xdr:col>2</xdr:col>
      <xdr:colOff>451338</xdr:colOff>
      <xdr:row>29</xdr:row>
      <xdr:rowOff>61546</xdr:rowOff>
    </xdr:from>
    <xdr:to>
      <xdr:col>4</xdr:col>
      <xdr:colOff>123092</xdr:colOff>
      <xdr:row>36</xdr:row>
      <xdr:rowOff>137745</xdr:rowOff>
    </xdr:to>
    <xdr:sp macro="" textlink="">
      <xdr:nvSpPr>
        <xdr:cNvPr id="26" name="Rectangle à coins arrondis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1198684" y="4466492"/>
          <a:ext cx="1781908" cy="1184031"/>
        </a:xfrm>
        <a:prstGeom prst="wedgeRoundRectCallout">
          <a:avLst>
            <a:gd name="adj1" fmla="val 29419"/>
            <a:gd name="adj2" fmla="val 72054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H" sz="1100"/>
            <a:t>5. (Optional)</a:t>
          </a:r>
        </a:p>
        <a:p>
          <a:pPr algn="l"/>
          <a:r>
            <a:rPr lang="fr-CH" sz="1100"/>
            <a:t> Flächen welche bereits an einer</a:t>
          </a:r>
          <a:r>
            <a:rPr lang="fr-CH" sz="1100" baseline="0"/>
            <a:t> bestehenden Anlage angeschlossen sind, können hier eingetragen werden. </a:t>
          </a:r>
          <a:endParaRPr lang="fr-CH" sz="1100"/>
        </a:p>
      </xdr:txBody>
    </xdr:sp>
    <xdr:clientData/>
  </xdr:twoCellAnchor>
  <xdr:twoCellAnchor>
    <xdr:from>
      <xdr:col>5</xdr:col>
      <xdr:colOff>137744</xdr:colOff>
      <xdr:row>29</xdr:row>
      <xdr:rowOff>111371</xdr:rowOff>
    </xdr:from>
    <xdr:to>
      <xdr:col>7</xdr:col>
      <xdr:colOff>474783</xdr:colOff>
      <xdr:row>35</xdr:row>
      <xdr:rowOff>96717</xdr:rowOff>
    </xdr:to>
    <xdr:sp macro="" textlink="">
      <xdr:nvSpPr>
        <xdr:cNvPr id="27" name="Rectangle à coins arrondis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3733798" y="4516317"/>
          <a:ext cx="2737339" cy="934915"/>
        </a:xfrm>
        <a:prstGeom prst="wedgeRoundRectCallout">
          <a:avLst>
            <a:gd name="adj1" fmla="val -64825"/>
            <a:gd name="adj2" fmla="val 96506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H" sz="1100"/>
            <a:t>6. (Optional)</a:t>
          </a:r>
        </a:p>
        <a:p>
          <a:pPr algn="l"/>
          <a:r>
            <a:rPr lang="fr-CH" sz="1100" baseline="0"/>
            <a:t> Sie können den Abflussbeiwert der Dimensionierung der bestehenden Anlage hier eintragen.</a:t>
          </a:r>
          <a:endParaRPr lang="fr-CH" sz="1100"/>
        </a:p>
      </xdr:txBody>
    </xdr:sp>
    <xdr:clientData/>
  </xdr:twoCellAnchor>
  <xdr:twoCellAnchor>
    <xdr:from>
      <xdr:col>1</xdr:col>
      <xdr:colOff>480644</xdr:colOff>
      <xdr:row>55</xdr:row>
      <xdr:rowOff>76200</xdr:rowOff>
    </xdr:from>
    <xdr:to>
      <xdr:col>4</xdr:col>
      <xdr:colOff>202221</xdr:colOff>
      <xdr:row>59</xdr:row>
      <xdr:rowOff>79130</xdr:rowOff>
    </xdr:to>
    <xdr:sp macro="" textlink="">
      <xdr:nvSpPr>
        <xdr:cNvPr id="28" name="Rectangle à coins arrondis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559775" y="8710246"/>
          <a:ext cx="2499946" cy="635977"/>
        </a:xfrm>
        <a:prstGeom prst="wedgeRoundRectCallout">
          <a:avLst>
            <a:gd name="adj1" fmla="val 28032"/>
            <a:gd name="adj2" fmla="val -82338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H" sz="1100"/>
            <a:t>8. Falls eine Versickerungsanlage geplant wird, geben</a:t>
          </a:r>
          <a:r>
            <a:rPr lang="fr-CH" sz="1100" baseline="0"/>
            <a:t> Sie die Geometrie entsprechend dem Schema an.</a:t>
          </a:r>
          <a:endParaRPr lang="fr-CH" sz="1100"/>
        </a:p>
      </xdr:txBody>
    </xdr:sp>
    <xdr:clientData/>
  </xdr:twoCellAnchor>
  <xdr:twoCellAnchor>
    <xdr:from>
      <xdr:col>6</xdr:col>
      <xdr:colOff>395651</xdr:colOff>
      <xdr:row>37</xdr:row>
      <xdr:rowOff>52751</xdr:rowOff>
    </xdr:from>
    <xdr:to>
      <xdr:col>8</xdr:col>
      <xdr:colOff>266700</xdr:colOff>
      <xdr:row>49</xdr:row>
      <xdr:rowOff>55684</xdr:rowOff>
    </xdr:to>
    <xdr:sp macro="" textlink="">
      <xdr:nvSpPr>
        <xdr:cNvPr id="29" name="Rectangle à coins arrondis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4967651" y="5723790"/>
          <a:ext cx="3045072" cy="1928448"/>
        </a:xfrm>
        <a:prstGeom prst="wedgeRoundRectCallout">
          <a:avLst>
            <a:gd name="adj1" fmla="val -67302"/>
            <a:gd name="adj2" fmla="val 44278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H" sz="1100" b="1"/>
            <a:t>7. Tragen Sie den</a:t>
          </a:r>
          <a:r>
            <a:rPr lang="fr-CH" sz="1100" b="1" baseline="0"/>
            <a:t> Abflussbeiwert gemäss  dem generellen Entwässerungsplan der Gemeinde (GEP) ein. </a:t>
          </a:r>
        </a:p>
        <a:p>
          <a:pPr algn="l"/>
          <a:r>
            <a:rPr lang="fr-CH" sz="1100" b="1" baseline="0"/>
            <a:t>Der mittlere Abflussbeiwert der Parzelle muss dem einzuhaltenden Abflussbeiwert entsprechen oder geringer sein. Falls dies nicht der Fall ist, sind mehr Flächen an die geplante(n) Anlage(n) anzuschliessen.</a:t>
          </a:r>
          <a:endParaRPr lang="fr-CH" sz="1100" b="1"/>
        </a:p>
      </xdr:txBody>
    </xdr:sp>
    <xdr:clientData/>
  </xdr:twoCellAnchor>
  <xdr:twoCellAnchor>
    <xdr:from>
      <xdr:col>5</xdr:col>
      <xdr:colOff>926122</xdr:colOff>
      <xdr:row>67</xdr:row>
      <xdr:rowOff>143605</xdr:rowOff>
    </xdr:from>
    <xdr:to>
      <xdr:col>7</xdr:col>
      <xdr:colOff>1629506</xdr:colOff>
      <xdr:row>71</xdr:row>
      <xdr:rowOff>149470</xdr:rowOff>
    </xdr:to>
    <xdr:sp macro="" textlink="">
      <xdr:nvSpPr>
        <xdr:cNvPr id="30" name="Rectangle à coins arrondi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4522176" y="10676790"/>
          <a:ext cx="3103684" cy="638911"/>
        </a:xfrm>
        <a:prstGeom prst="wedgeRoundRectCallout">
          <a:avLst>
            <a:gd name="adj1" fmla="val -80710"/>
            <a:gd name="adj2" fmla="val -71196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H" sz="1100"/>
            <a:t>9. Das</a:t>
          </a:r>
          <a:r>
            <a:rPr lang="fr-CH" sz="1100" baseline="0"/>
            <a:t> benötigte Retentionsvolumen sowie  das Volumen und die Tiefe der Versickerungsanlage werden automatisch berechnet.</a:t>
          </a:r>
          <a:endParaRPr lang="fr-CH" sz="1100"/>
        </a:p>
      </xdr:txBody>
    </xdr:sp>
    <xdr:clientData/>
  </xdr:twoCellAnchor>
  <xdr:twoCellAnchor>
    <xdr:from>
      <xdr:col>0</xdr:col>
      <xdr:colOff>61546</xdr:colOff>
      <xdr:row>73</xdr:row>
      <xdr:rowOff>70337</xdr:rowOff>
    </xdr:from>
    <xdr:to>
      <xdr:col>8</xdr:col>
      <xdr:colOff>316524</xdr:colOff>
      <xdr:row>78</xdr:row>
      <xdr:rowOff>38100</xdr:rowOff>
    </xdr:to>
    <xdr:sp macro="" textlink="">
      <xdr:nvSpPr>
        <xdr:cNvPr id="31" name="Rectangle à coins arrondis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61546" y="11553091"/>
          <a:ext cx="8001001" cy="759070"/>
        </a:xfrm>
        <a:prstGeom prst="wedgeRoundRectCallout">
          <a:avLst>
            <a:gd name="adj1" fmla="val -11871"/>
            <a:gd name="adj2" fmla="val -14774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H" sz="1100"/>
            <a:t>10. Sie können die Dimensionierungsjährlichkeit</a:t>
          </a:r>
          <a:r>
            <a:rPr lang="fr-CH" sz="1100" baseline="0"/>
            <a:t> z=1 oder z=5 sowie den Wirkungsgrad der Abflussdrosselung in den Ordnern "Volumen Versickerung" und "Volumen Retention" unter den Buchstaben "d)" und "f)" ändern. Die gedrosselte Abflussmenge für eine Retentionsanlage wird unter g) angegeben</a:t>
          </a:r>
        </a:p>
        <a:p>
          <a:pPr algn="l"/>
          <a:endParaRPr lang="fr-CH" sz="1100"/>
        </a:p>
      </xdr:txBody>
    </xdr:sp>
    <xdr:clientData/>
  </xdr:twoCellAnchor>
  <xdr:twoCellAnchor editAs="oneCell">
    <xdr:from>
      <xdr:col>1</xdr:col>
      <xdr:colOff>0</xdr:colOff>
      <xdr:row>0</xdr:row>
      <xdr:rowOff>1</xdr:rowOff>
    </xdr:from>
    <xdr:to>
      <xdr:col>2</xdr:col>
      <xdr:colOff>4250</xdr:colOff>
      <xdr:row>4</xdr:row>
      <xdr:rowOff>48783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8" y="1"/>
          <a:ext cx="581025" cy="731065"/>
        </a:xfrm>
        <a:prstGeom prst="rect">
          <a:avLst/>
        </a:prstGeom>
      </xdr:spPr>
    </xdr:pic>
    <xdr:clientData/>
  </xdr:twoCellAnchor>
  <xdr:twoCellAnchor editAs="oneCell">
    <xdr:from>
      <xdr:col>4</xdr:col>
      <xdr:colOff>622997</xdr:colOff>
      <xdr:row>49</xdr:row>
      <xdr:rowOff>150724</xdr:rowOff>
    </xdr:from>
    <xdr:to>
      <xdr:col>7</xdr:col>
      <xdr:colOff>950486</xdr:colOff>
      <xdr:row>59</xdr:row>
      <xdr:rowOff>54672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1028" y="7880921"/>
          <a:ext cx="3485686" cy="1521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</xdr:col>
      <xdr:colOff>581026</xdr:colOff>
      <xdr:row>0</xdr:row>
      <xdr:rowOff>752167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1"/>
          <a:ext cx="581025" cy="734582"/>
        </a:xfrm>
        <a:prstGeom prst="rect">
          <a:avLst/>
        </a:prstGeom>
      </xdr:spPr>
    </xdr:pic>
    <xdr:clientData/>
  </xdr:twoCellAnchor>
  <xdr:twoCellAnchor editAs="oneCell">
    <xdr:from>
      <xdr:col>4</xdr:col>
      <xdr:colOff>622997</xdr:colOff>
      <xdr:row>46</xdr:row>
      <xdr:rowOff>150724</xdr:rowOff>
    </xdr:from>
    <xdr:to>
      <xdr:col>7</xdr:col>
      <xdr:colOff>950486</xdr:colOff>
      <xdr:row>56</xdr:row>
      <xdr:rowOff>54672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6004" y="7506117"/>
          <a:ext cx="3492719" cy="15116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43</xdr:row>
      <xdr:rowOff>133350</xdr:rowOff>
    </xdr:from>
    <xdr:to>
      <xdr:col>13</xdr:col>
      <xdr:colOff>323850</xdr:colOff>
      <xdr:row>66</xdr:row>
      <xdr:rowOff>190500</xdr:rowOff>
    </xdr:to>
    <xdr:graphicFrame macro="">
      <xdr:nvGraphicFramePr>
        <xdr:cNvPr id="1842" name="Graphique 1">
          <a:extLst>
            <a:ext uri="{FF2B5EF4-FFF2-40B4-BE49-F238E27FC236}">
              <a16:creationId xmlns:a16="http://schemas.microsoft.com/office/drawing/2014/main" id="{00000000-0008-0000-0200-000032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19050</xdr:colOff>
      <xdr:row>17</xdr:row>
      <xdr:rowOff>47625</xdr:rowOff>
    </xdr:from>
    <xdr:to>
      <xdr:col>13</xdr:col>
      <xdr:colOff>28575</xdr:colOff>
      <xdr:row>30</xdr:row>
      <xdr:rowOff>19050</xdr:rowOff>
    </xdr:to>
    <xdr:pic>
      <xdr:nvPicPr>
        <xdr:cNvPr id="1843" name="Image 11" descr="Secteur protection des eaux.JPG">
          <a:extLst>
            <a:ext uri="{FF2B5EF4-FFF2-40B4-BE49-F238E27FC236}">
              <a16:creationId xmlns:a16="http://schemas.microsoft.com/office/drawing/2014/main" id="{00000000-0008-0000-0200-00003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2828925"/>
          <a:ext cx="3248025" cy="209550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95250</xdr:colOff>
      <xdr:row>18</xdr:row>
      <xdr:rowOff>142875</xdr:rowOff>
    </xdr:from>
    <xdr:to>
      <xdr:col>9</xdr:col>
      <xdr:colOff>85725</xdr:colOff>
      <xdr:row>19</xdr:row>
      <xdr:rowOff>76200</xdr:rowOff>
    </xdr:to>
    <xdr:sp macro="" textlink="">
      <xdr:nvSpPr>
        <xdr:cNvPr id="1844" name="Flèche droite 12">
          <a:extLst>
            <a:ext uri="{FF2B5EF4-FFF2-40B4-BE49-F238E27FC236}">
              <a16:creationId xmlns:a16="http://schemas.microsoft.com/office/drawing/2014/main" id="{00000000-0008-0000-0200-000034070000}"/>
            </a:ext>
          </a:extLst>
        </xdr:cNvPr>
        <xdr:cNvSpPr>
          <a:spLocks noChangeArrowheads="1"/>
        </xdr:cNvSpPr>
      </xdr:nvSpPr>
      <xdr:spPr bwMode="auto">
        <a:xfrm rot="-1072909">
          <a:off x="5295900" y="2990850"/>
          <a:ext cx="209550" cy="104775"/>
        </a:xfrm>
        <a:prstGeom prst="rightArrow">
          <a:avLst>
            <a:gd name="adj1" fmla="val 50000"/>
            <a:gd name="adj2" fmla="val 46398"/>
          </a:avLst>
        </a:prstGeom>
        <a:solidFill>
          <a:srgbClr val="FFFFFF"/>
        </a:solidFill>
        <a:ln w="9525" algn="ctr">
          <a:solidFill>
            <a:srgbClr val="A6A6A6"/>
          </a:solidFill>
          <a:round/>
          <a:headEnd/>
          <a:tailEnd/>
        </a:ln>
      </xdr:spPr>
    </xdr:sp>
    <xdr:clientData/>
  </xdr:twoCellAnchor>
  <xdr:twoCellAnchor>
    <xdr:from>
      <xdr:col>7</xdr:col>
      <xdr:colOff>466725</xdr:colOff>
      <xdr:row>19</xdr:row>
      <xdr:rowOff>114300</xdr:rowOff>
    </xdr:from>
    <xdr:to>
      <xdr:col>8</xdr:col>
      <xdr:colOff>161925</xdr:colOff>
      <xdr:row>20</xdr:row>
      <xdr:rowOff>57150</xdr:rowOff>
    </xdr:to>
    <xdr:sp macro="" textlink="">
      <xdr:nvSpPr>
        <xdr:cNvPr id="1845" name="Flèche droite 13">
          <a:extLst>
            <a:ext uri="{FF2B5EF4-FFF2-40B4-BE49-F238E27FC236}">
              <a16:creationId xmlns:a16="http://schemas.microsoft.com/office/drawing/2014/main" id="{00000000-0008-0000-0200-000035070000}"/>
            </a:ext>
          </a:extLst>
        </xdr:cNvPr>
        <xdr:cNvSpPr>
          <a:spLocks noChangeArrowheads="1"/>
        </xdr:cNvSpPr>
      </xdr:nvSpPr>
      <xdr:spPr bwMode="auto">
        <a:xfrm rot="-175052">
          <a:off x="5172075" y="3133725"/>
          <a:ext cx="190500" cy="114300"/>
        </a:xfrm>
        <a:prstGeom prst="rightArrow">
          <a:avLst>
            <a:gd name="adj1" fmla="val 50000"/>
            <a:gd name="adj2" fmla="val 33148"/>
          </a:avLst>
        </a:prstGeom>
        <a:solidFill>
          <a:srgbClr val="FFFFFF"/>
        </a:solidFill>
        <a:ln w="9525" algn="ctr">
          <a:solidFill>
            <a:srgbClr val="A6A6A6"/>
          </a:solidFill>
          <a:round/>
          <a:headEnd/>
          <a:tailEnd/>
        </a:ln>
      </xdr:spPr>
    </xdr:sp>
    <xdr:clientData/>
  </xdr:twoCellAnchor>
  <xdr:twoCellAnchor>
    <xdr:from>
      <xdr:col>7</xdr:col>
      <xdr:colOff>523875</xdr:colOff>
      <xdr:row>22</xdr:row>
      <xdr:rowOff>0</xdr:rowOff>
    </xdr:from>
    <xdr:to>
      <xdr:col>8</xdr:col>
      <xdr:colOff>219075</xdr:colOff>
      <xdr:row>22</xdr:row>
      <xdr:rowOff>104775</xdr:rowOff>
    </xdr:to>
    <xdr:sp macro="" textlink="">
      <xdr:nvSpPr>
        <xdr:cNvPr id="1846" name="Flèche droite 14">
          <a:extLst>
            <a:ext uri="{FF2B5EF4-FFF2-40B4-BE49-F238E27FC236}">
              <a16:creationId xmlns:a16="http://schemas.microsoft.com/office/drawing/2014/main" id="{00000000-0008-0000-0200-000036070000}"/>
            </a:ext>
          </a:extLst>
        </xdr:cNvPr>
        <xdr:cNvSpPr>
          <a:spLocks noChangeArrowheads="1"/>
        </xdr:cNvSpPr>
      </xdr:nvSpPr>
      <xdr:spPr bwMode="auto">
        <a:xfrm rot="1002310">
          <a:off x="5200650" y="3533775"/>
          <a:ext cx="219075" cy="104775"/>
        </a:xfrm>
        <a:prstGeom prst="rightArrow">
          <a:avLst>
            <a:gd name="adj1" fmla="val 50000"/>
            <a:gd name="adj2" fmla="val 49901"/>
          </a:avLst>
        </a:prstGeom>
        <a:solidFill>
          <a:srgbClr val="FFFFFF"/>
        </a:solidFill>
        <a:ln w="9525" algn="ctr">
          <a:solidFill>
            <a:srgbClr val="A6A6A6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25</xdr:row>
      <xdr:rowOff>47625</xdr:rowOff>
    </xdr:from>
    <xdr:to>
      <xdr:col>9</xdr:col>
      <xdr:colOff>57150</xdr:colOff>
      <xdr:row>25</xdr:row>
      <xdr:rowOff>152400</xdr:rowOff>
    </xdr:to>
    <xdr:sp macro="" textlink="">
      <xdr:nvSpPr>
        <xdr:cNvPr id="1847" name="Flèche droite 15">
          <a:extLst>
            <a:ext uri="{FF2B5EF4-FFF2-40B4-BE49-F238E27FC236}">
              <a16:creationId xmlns:a16="http://schemas.microsoft.com/office/drawing/2014/main" id="{00000000-0008-0000-0200-000037070000}"/>
            </a:ext>
          </a:extLst>
        </xdr:cNvPr>
        <xdr:cNvSpPr>
          <a:spLocks noChangeArrowheads="1"/>
        </xdr:cNvSpPr>
      </xdr:nvSpPr>
      <xdr:spPr bwMode="auto">
        <a:xfrm rot="1058552">
          <a:off x="5267325" y="4095750"/>
          <a:ext cx="209550" cy="104775"/>
        </a:xfrm>
        <a:prstGeom prst="rightArrow">
          <a:avLst>
            <a:gd name="adj1" fmla="val 50000"/>
            <a:gd name="adj2" fmla="val 47731"/>
          </a:avLst>
        </a:prstGeom>
        <a:solidFill>
          <a:srgbClr val="FFFFFF"/>
        </a:solidFill>
        <a:ln w="9525" algn="ctr">
          <a:solidFill>
            <a:srgbClr val="A6A6A6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32</xdr:row>
      <xdr:rowOff>119062</xdr:rowOff>
    </xdr:from>
    <xdr:ext cx="914400" cy="4183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ZoneTexte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123825" y="5300662"/>
              <a:ext cx="914400" cy="4183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CH" sz="1100" b="0" i="1">
                        <a:latin typeface="Cambria Math"/>
                      </a:rPr>
                      <m:t>𝑐</m:t>
                    </m:r>
                    <m:r>
                      <a:rPr lang="fr-CH" sz="1100" b="0" i="1">
                        <a:latin typeface="Cambria Math"/>
                      </a:rPr>
                      <m:t>= </m:t>
                    </m:r>
                    <m:f>
                      <m:fPr>
                        <m:ctrlPr>
                          <a:rPr lang="fr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𝑞</m:t>
                            </m:r>
                          </m:e>
                          <m:sub>
                            <m: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𝑎𝑏</m:t>
                            </m:r>
                          </m:sub>
                        </m:sSub>
                      </m:num>
                      <m:den>
                        <m:r>
                          <a:rPr lang="fr-CH" sz="1100" b="0" i="1">
                            <a:latin typeface="Cambria Math"/>
                          </a:rPr>
                          <m:t>2.78 </m:t>
                        </m:r>
                        <m:sSub>
                          <m:sSubPr>
                            <m:ctrlPr>
                              <a:rPr lang="fr-CH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fr-CH" sz="1100" b="0" i="1">
                                <a:latin typeface="Cambria Math"/>
                              </a:rPr>
                              <m:t>𝑎</m:t>
                            </m:r>
                          </m:e>
                          <m:sub>
                            <m:r>
                              <a:rPr lang="fr-CH" sz="1100" b="0" i="1">
                                <a:latin typeface="Cambria Math"/>
                              </a:rPr>
                              <m:t>𝑇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fr-CH" sz="1100"/>
            </a:p>
          </xdr:txBody>
        </xdr:sp>
      </mc:Choice>
      <mc:Fallback xmlns="">
        <xdr:sp macro="" textlink="">
          <xdr:nvSpPr>
            <xdr:cNvPr id="2" name="ZoneTexte 1"/>
            <xdr:cNvSpPr txBox="1"/>
          </xdr:nvSpPr>
          <xdr:spPr>
            <a:xfrm>
              <a:off x="123825" y="5300662"/>
              <a:ext cx="914400" cy="4183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fr-CH" sz="1100" b="0" i="0">
                  <a:latin typeface="Cambria Math"/>
                </a:rPr>
                <a:t>𝑐= </a:t>
              </a:r>
              <a:r>
                <a:rPr lang="fr-CH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𝑞_𝑎𝑏/(</a:t>
              </a:r>
              <a:r>
                <a:rPr lang="fr-CH" sz="1100" b="0" i="0">
                  <a:latin typeface="Cambria Math"/>
                </a:rPr>
                <a:t>2.78 𝑎_𝑇 )</a:t>
              </a:r>
              <a:endParaRPr lang="fr-CH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36</xdr:row>
      <xdr:rowOff>4762</xdr:rowOff>
    </xdr:from>
    <xdr:ext cx="1514475" cy="5924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SpPr txBox="1"/>
          </xdr:nvSpPr>
          <xdr:spPr>
            <a:xfrm>
              <a:off x="0" y="5834062"/>
              <a:ext cx="1514475" cy="5924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CH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CH" sz="1100" b="0" i="1">
                            <a:latin typeface="Cambria Math"/>
                          </a:rPr>
                          <m:t>𝑡</m:t>
                        </m:r>
                      </m:e>
                      <m:sub>
                        <m:r>
                          <a:rPr lang="fr-CH" sz="1100" b="0" i="1">
                            <a:latin typeface="Cambria Math"/>
                          </a:rPr>
                          <m:t>𝑚𝑎𝑥</m:t>
                        </m:r>
                      </m:sub>
                    </m:sSub>
                    <m:r>
                      <a:rPr lang="fr-CH" sz="1100" b="0" i="1">
                        <a:latin typeface="Cambria Math"/>
                      </a:rPr>
                      <m:t>= </m:t>
                    </m:r>
                    <m:rad>
                      <m:radPr>
                        <m:degHide m:val="on"/>
                        <m:ctrlPr>
                          <a:rPr lang="fr-CH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𝑏</m:t>
                                </m:r>
                              </m:e>
                              <m:sub>
                                <m: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𝑇</m:t>
                                </m:r>
                              </m:sub>
                            </m:sSub>
                          </m:num>
                          <m:den>
                            <m: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den>
                        </m:f>
                      </m:e>
                    </m:rad>
                    <m:r>
                      <a:rPr lang="fr-CH" sz="1100" b="0" i="0">
                        <a:latin typeface="Cambria Math"/>
                      </a:rPr>
                      <m:t>−</m:t>
                    </m:r>
                    <m:r>
                      <m:rPr>
                        <m:sty m:val="p"/>
                      </m:rPr>
                      <a:rPr lang="fr-CH" sz="1100" b="0" i="0">
                        <a:latin typeface="Cambria Math"/>
                      </a:rPr>
                      <m:t>c</m:t>
                    </m:r>
                  </m:oMath>
                </m:oMathPara>
              </a14:m>
              <a:endParaRPr lang="fr-CH" sz="1100"/>
            </a:p>
          </xdr:txBody>
        </xdr:sp>
      </mc:Choice>
      <mc:Fallback xmlns="">
        <xdr:sp macro="" textlink="">
          <xdr:nvSpPr>
            <xdr:cNvPr id="3" name="ZoneTexte 2"/>
            <xdr:cNvSpPr txBox="1"/>
          </xdr:nvSpPr>
          <xdr:spPr>
            <a:xfrm>
              <a:off x="0" y="5834062"/>
              <a:ext cx="1514475" cy="5924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fr-CH" sz="1100" b="0" i="0">
                  <a:latin typeface="Cambria Math"/>
                </a:rPr>
                <a:t>𝑡_𝑚𝑎𝑥= √(</a:t>
              </a:r>
              <a:r>
                <a:rPr lang="fr-CH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𝑏_𝑇/𝑐)</a:t>
              </a:r>
              <a:r>
                <a:rPr lang="fr-CH" sz="1100" b="0" i="0">
                  <a:latin typeface="Cambria Math"/>
                </a:rPr>
                <a:t>−c</a:t>
              </a:r>
              <a:endParaRPr lang="fr-CH" sz="1100"/>
            </a:p>
          </xdr:txBody>
        </xdr:sp>
      </mc:Fallback>
    </mc:AlternateContent>
    <xdr:clientData/>
  </xdr:oneCellAnchor>
  <xdr:oneCellAnchor>
    <xdr:from>
      <xdr:col>0</xdr:col>
      <xdr:colOff>47625</xdr:colOff>
      <xdr:row>40</xdr:row>
      <xdr:rowOff>119062</xdr:rowOff>
    </xdr:from>
    <xdr:ext cx="2447925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47625" y="6596062"/>
              <a:ext cx="2447925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CH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CH" sz="11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fr-CH" sz="1100" b="0" i="1">
                            <a:latin typeface="Cambria Math"/>
                          </a:rPr>
                          <m:t>𝑠𝑝𝑒𝑧</m:t>
                        </m:r>
                      </m:sub>
                    </m:sSub>
                    <m:r>
                      <a:rPr lang="fr-CH" sz="1100" b="0" i="1">
                        <a:latin typeface="Cambria Math"/>
                      </a:rPr>
                      <m:t>=10 </m:t>
                    </m:r>
                    <m:sSub>
                      <m:sSubPr>
                        <m:ctrlPr>
                          <a:rPr lang="fr-CH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fr-CH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𝑎</m:t>
                        </m:r>
                      </m:e>
                      <m:sub>
                        <m:r>
                          <a:rPr lang="fr-CH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</m:sSub>
                    <m:r>
                      <a:rPr lang="fr-CH" sz="1100" b="0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fr-CH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fr-CH" sz="1100" b="0" i="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  <m:f>
                          <m:fPr>
                            <m:ctrlP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e>
                              <m:sub>
                                <m: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𝑚𝑎𝑥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e>
                              <m:sub>
                                <m: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𝑚𝑎𝑥</m:t>
                                </m:r>
                              </m:sub>
                            </m:sSub>
                            <m: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𝑏</m:t>
                                </m:r>
                              </m:e>
                              <m:sub>
                                <m: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𝑇</m:t>
                                </m:r>
                              </m:sub>
                            </m:sSub>
                            <m: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 </m:t>
                            </m:r>
                          </m:den>
                        </m:f>
                        <m:r>
                          <a:rPr lang="fr-CH" sz="1100" b="0" i="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fr-CH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𝑐</m:t>
                        </m:r>
                        <m:r>
                          <a:rPr lang="fr-CH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  <m:sSub>
                          <m:sSubPr>
                            <m:ctrlP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𝑡</m:t>
                            </m:r>
                          </m:e>
                          <m:sub>
                            <m: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𝑚𝑎𝑥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fr-CH">
                            <a:effectLst/>
                          </a:rPr>
                          <m:t> </m:t>
                        </m:r>
                      </m:e>
                    </m:d>
                  </m:oMath>
                </m:oMathPara>
              </a14:m>
              <a:endParaRPr lang="fr-CH" sz="1100"/>
            </a:p>
          </xdr:txBody>
        </xdr:sp>
      </mc:Choice>
      <mc:Fallback xmlns="">
        <xdr:sp macro="" textlink="">
          <xdr:nvSpPr>
            <xdr:cNvPr id="4" name="ZoneTexte 3"/>
            <xdr:cNvSpPr txBox="1"/>
          </xdr:nvSpPr>
          <xdr:spPr>
            <a:xfrm>
              <a:off x="47625" y="6596062"/>
              <a:ext cx="2447925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fr-CH" sz="1100" b="0" i="0">
                  <a:latin typeface="Cambria Math"/>
                </a:rPr>
                <a:t>𝑉_𝑠𝑝𝑒𝑧=10 </a:t>
              </a:r>
              <a:r>
                <a:rPr lang="fr-CH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𝑎_𝑇 </a:t>
              </a:r>
              <a:r>
                <a:rPr lang="fr-CH" sz="1100" b="0" i="0">
                  <a:latin typeface="Cambria Math"/>
                </a:rPr>
                <a:t> (</a:t>
              </a:r>
              <a:r>
                <a:rPr lang="fr-CH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𝑡_𝑚𝑎𝑥/(𝑡_𝑚𝑎𝑥+𝑏_𝑇  )−𝑐 𝑡_𝑚𝑎𝑥 "</a:t>
              </a:r>
              <a:r>
                <a:rPr lang="fr-CH" i="0">
                  <a:effectLst/>
                </a:rPr>
                <a:t> </a:t>
              </a:r>
              <a:r>
                <a:rPr lang="fr-CH" i="0">
                  <a:effectLst/>
                  <a:latin typeface="Cambria Math"/>
                </a:rPr>
                <a:t>" )</a:t>
              </a:r>
              <a:endParaRPr lang="fr-CH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257176</xdr:colOff>
      <xdr:row>43</xdr:row>
      <xdr:rowOff>133350</xdr:rowOff>
    </xdr:from>
    <xdr:to>
      <xdr:col>13</xdr:col>
      <xdr:colOff>124558</xdr:colOff>
      <xdr:row>66</xdr:row>
      <xdr:rowOff>190500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19050</xdr:colOff>
      <xdr:row>17</xdr:row>
      <xdr:rowOff>47625</xdr:rowOff>
    </xdr:from>
    <xdr:to>
      <xdr:col>13</xdr:col>
      <xdr:colOff>28575</xdr:colOff>
      <xdr:row>30</xdr:row>
      <xdr:rowOff>19050</xdr:rowOff>
    </xdr:to>
    <xdr:pic>
      <xdr:nvPicPr>
        <xdr:cNvPr id="3" name="Image 11" descr="Secteur protection des eaux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828925"/>
          <a:ext cx="3419475" cy="209550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95250</xdr:colOff>
      <xdr:row>18</xdr:row>
      <xdr:rowOff>142875</xdr:rowOff>
    </xdr:from>
    <xdr:to>
      <xdr:col>9</xdr:col>
      <xdr:colOff>85725</xdr:colOff>
      <xdr:row>19</xdr:row>
      <xdr:rowOff>76200</xdr:rowOff>
    </xdr:to>
    <xdr:sp macro="" textlink="">
      <xdr:nvSpPr>
        <xdr:cNvPr id="4" name="Flèche droite 1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 rot="-1072909">
          <a:off x="5543550" y="2990850"/>
          <a:ext cx="219075" cy="104775"/>
        </a:xfrm>
        <a:prstGeom prst="rightArrow">
          <a:avLst>
            <a:gd name="adj1" fmla="val 50000"/>
            <a:gd name="adj2" fmla="val 46398"/>
          </a:avLst>
        </a:prstGeom>
        <a:solidFill>
          <a:srgbClr val="FFFFFF"/>
        </a:solidFill>
        <a:ln w="9525" algn="ctr">
          <a:solidFill>
            <a:srgbClr val="A6A6A6"/>
          </a:solidFill>
          <a:round/>
          <a:headEnd/>
          <a:tailEnd/>
        </a:ln>
      </xdr:spPr>
    </xdr:sp>
    <xdr:clientData/>
  </xdr:twoCellAnchor>
  <xdr:twoCellAnchor>
    <xdr:from>
      <xdr:col>7</xdr:col>
      <xdr:colOff>466725</xdr:colOff>
      <xdr:row>19</xdr:row>
      <xdr:rowOff>114300</xdr:rowOff>
    </xdr:from>
    <xdr:to>
      <xdr:col>8</xdr:col>
      <xdr:colOff>161925</xdr:colOff>
      <xdr:row>20</xdr:row>
      <xdr:rowOff>57150</xdr:rowOff>
    </xdr:to>
    <xdr:sp macro="" textlink="">
      <xdr:nvSpPr>
        <xdr:cNvPr id="5" name="Flèche droite 1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 rot="-175052">
          <a:off x="5391150" y="3133725"/>
          <a:ext cx="219075" cy="114300"/>
        </a:xfrm>
        <a:prstGeom prst="rightArrow">
          <a:avLst>
            <a:gd name="adj1" fmla="val 50000"/>
            <a:gd name="adj2" fmla="val 33148"/>
          </a:avLst>
        </a:prstGeom>
        <a:solidFill>
          <a:srgbClr val="FFFFFF"/>
        </a:solidFill>
        <a:ln w="9525" algn="ctr">
          <a:solidFill>
            <a:srgbClr val="A6A6A6"/>
          </a:solidFill>
          <a:round/>
          <a:headEnd/>
          <a:tailEnd/>
        </a:ln>
      </xdr:spPr>
    </xdr:sp>
    <xdr:clientData/>
  </xdr:twoCellAnchor>
  <xdr:twoCellAnchor>
    <xdr:from>
      <xdr:col>7</xdr:col>
      <xdr:colOff>523875</xdr:colOff>
      <xdr:row>22</xdr:row>
      <xdr:rowOff>0</xdr:rowOff>
    </xdr:from>
    <xdr:to>
      <xdr:col>8</xdr:col>
      <xdr:colOff>219075</xdr:colOff>
      <xdr:row>22</xdr:row>
      <xdr:rowOff>104775</xdr:rowOff>
    </xdr:to>
    <xdr:sp macro="" textlink="">
      <xdr:nvSpPr>
        <xdr:cNvPr id="6" name="Flèche droite 1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 rot="1002310">
          <a:off x="5448300" y="3533775"/>
          <a:ext cx="219075" cy="104775"/>
        </a:xfrm>
        <a:prstGeom prst="rightArrow">
          <a:avLst>
            <a:gd name="adj1" fmla="val 50000"/>
            <a:gd name="adj2" fmla="val 49901"/>
          </a:avLst>
        </a:prstGeom>
        <a:solidFill>
          <a:srgbClr val="FFFFFF"/>
        </a:solidFill>
        <a:ln w="9525" algn="ctr">
          <a:solidFill>
            <a:srgbClr val="A6A6A6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25</xdr:row>
      <xdr:rowOff>47625</xdr:rowOff>
    </xdr:from>
    <xdr:to>
      <xdr:col>9</xdr:col>
      <xdr:colOff>57150</xdr:colOff>
      <xdr:row>25</xdr:row>
      <xdr:rowOff>152400</xdr:rowOff>
    </xdr:to>
    <xdr:sp macro="" textlink="">
      <xdr:nvSpPr>
        <xdr:cNvPr id="7" name="Flèche droite 1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 rot="1058552">
          <a:off x="5514975" y="4095750"/>
          <a:ext cx="219075" cy="104775"/>
        </a:xfrm>
        <a:prstGeom prst="rightArrow">
          <a:avLst>
            <a:gd name="adj1" fmla="val 50000"/>
            <a:gd name="adj2" fmla="val 47731"/>
          </a:avLst>
        </a:prstGeom>
        <a:solidFill>
          <a:srgbClr val="FFFFFF"/>
        </a:solidFill>
        <a:ln w="9525" algn="ctr">
          <a:solidFill>
            <a:srgbClr val="A6A6A6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32</xdr:row>
      <xdr:rowOff>119062</xdr:rowOff>
    </xdr:from>
    <xdr:ext cx="914400" cy="4183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ZoneTexte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SpPr txBox="1"/>
          </xdr:nvSpPr>
          <xdr:spPr>
            <a:xfrm>
              <a:off x="123825" y="5138737"/>
              <a:ext cx="914400" cy="4183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CH" sz="1100" b="0" i="1">
                        <a:latin typeface="Cambria Math"/>
                      </a:rPr>
                      <m:t>𝑐</m:t>
                    </m:r>
                    <m:r>
                      <a:rPr lang="fr-CH" sz="1100" b="0" i="1">
                        <a:latin typeface="Cambria Math"/>
                      </a:rPr>
                      <m:t>= </m:t>
                    </m:r>
                    <m:f>
                      <m:fPr>
                        <m:ctrlPr>
                          <a:rPr lang="fr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𝑞</m:t>
                            </m:r>
                          </m:e>
                          <m:sub>
                            <m: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𝑎𝑏</m:t>
                            </m:r>
                          </m:sub>
                        </m:sSub>
                      </m:num>
                      <m:den>
                        <m:r>
                          <a:rPr lang="fr-CH" sz="1100" b="0" i="1">
                            <a:latin typeface="Cambria Math"/>
                          </a:rPr>
                          <m:t>2.78 </m:t>
                        </m:r>
                        <m:sSub>
                          <m:sSubPr>
                            <m:ctrlPr>
                              <a:rPr lang="fr-CH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fr-CH" sz="1100" b="0" i="1">
                                <a:latin typeface="Cambria Math"/>
                              </a:rPr>
                              <m:t>𝑎</m:t>
                            </m:r>
                          </m:e>
                          <m:sub>
                            <m:r>
                              <a:rPr lang="fr-CH" sz="1100" b="0" i="1">
                                <a:latin typeface="Cambria Math"/>
                              </a:rPr>
                              <m:t>𝑇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fr-CH" sz="1100"/>
            </a:p>
          </xdr:txBody>
        </xdr:sp>
      </mc:Choice>
      <mc:Fallback xmlns="">
        <xdr:sp macro="" textlink="">
          <xdr:nvSpPr>
            <xdr:cNvPr id="2" name="ZoneTexte 1"/>
            <xdr:cNvSpPr txBox="1"/>
          </xdr:nvSpPr>
          <xdr:spPr>
            <a:xfrm>
              <a:off x="123825" y="5138737"/>
              <a:ext cx="914400" cy="4183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fr-CH" sz="1100" b="0" i="0">
                  <a:latin typeface="Cambria Math"/>
                </a:rPr>
                <a:t>𝑐= </a:t>
              </a:r>
              <a:r>
                <a:rPr lang="fr-CH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𝑞_𝑎𝑏/(</a:t>
              </a:r>
              <a:r>
                <a:rPr lang="fr-CH" sz="1100" b="0" i="0">
                  <a:latin typeface="Cambria Math"/>
                </a:rPr>
                <a:t>2.78 𝑎_𝑇 )</a:t>
              </a:r>
              <a:endParaRPr lang="fr-CH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36</xdr:row>
      <xdr:rowOff>4762</xdr:rowOff>
    </xdr:from>
    <xdr:ext cx="1514475" cy="5924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:cNvPr>
            <xdr:cNvSpPr txBox="1"/>
          </xdr:nvSpPr>
          <xdr:spPr>
            <a:xfrm>
              <a:off x="0" y="5672137"/>
              <a:ext cx="1514475" cy="5924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CH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CH" sz="1100" b="0" i="1">
                            <a:latin typeface="Cambria Math"/>
                          </a:rPr>
                          <m:t>𝑡</m:t>
                        </m:r>
                      </m:e>
                      <m:sub>
                        <m:r>
                          <a:rPr lang="fr-CH" sz="1100" b="0" i="1">
                            <a:latin typeface="Cambria Math"/>
                          </a:rPr>
                          <m:t>𝑚𝑎𝑥</m:t>
                        </m:r>
                      </m:sub>
                    </m:sSub>
                    <m:r>
                      <a:rPr lang="fr-CH" sz="1100" b="0" i="1">
                        <a:latin typeface="Cambria Math"/>
                      </a:rPr>
                      <m:t>= </m:t>
                    </m:r>
                    <m:rad>
                      <m:radPr>
                        <m:degHide m:val="on"/>
                        <m:ctrlPr>
                          <a:rPr lang="fr-CH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𝑏</m:t>
                                </m:r>
                              </m:e>
                              <m:sub>
                                <m: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𝑇</m:t>
                                </m:r>
                              </m:sub>
                            </m:sSub>
                          </m:num>
                          <m:den>
                            <m: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den>
                        </m:f>
                      </m:e>
                    </m:rad>
                    <m:r>
                      <a:rPr lang="fr-CH" sz="1100" b="0" i="0">
                        <a:latin typeface="Cambria Math"/>
                      </a:rPr>
                      <m:t>−</m:t>
                    </m:r>
                    <m:r>
                      <m:rPr>
                        <m:sty m:val="p"/>
                      </m:rPr>
                      <a:rPr lang="fr-CH" sz="1100" b="0" i="0">
                        <a:latin typeface="Cambria Math"/>
                      </a:rPr>
                      <m:t>c</m:t>
                    </m:r>
                  </m:oMath>
                </m:oMathPara>
              </a14:m>
              <a:endParaRPr lang="fr-CH" sz="1100"/>
            </a:p>
          </xdr:txBody>
        </xdr:sp>
      </mc:Choice>
      <mc:Fallback xmlns="">
        <xdr:sp macro="" textlink="">
          <xdr:nvSpPr>
            <xdr:cNvPr id="3" name="ZoneTexte 2"/>
            <xdr:cNvSpPr txBox="1"/>
          </xdr:nvSpPr>
          <xdr:spPr>
            <a:xfrm>
              <a:off x="0" y="5672137"/>
              <a:ext cx="1514475" cy="5924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fr-CH" sz="1100" b="0" i="0">
                  <a:latin typeface="Cambria Math"/>
                </a:rPr>
                <a:t>𝑡_𝑚𝑎𝑥= √(</a:t>
              </a:r>
              <a:r>
                <a:rPr lang="fr-CH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𝑏_𝑇/𝑐)</a:t>
              </a:r>
              <a:r>
                <a:rPr lang="fr-CH" sz="1100" b="0" i="0">
                  <a:latin typeface="Cambria Math"/>
                </a:rPr>
                <a:t>−c</a:t>
              </a:r>
              <a:endParaRPr lang="fr-CH" sz="1100"/>
            </a:p>
          </xdr:txBody>
        </xdr:sp>
      </mc:Fallback>
    </mc:AlternateContent>
    <xdr:clientData/>
  </xdr:oneCellAnchor>
  <xdr:oneCellAnchor>
    <xdr:from>
      <xdr:col>0</xdr:col>
      <xdr:colOff>47625</xdr:colOff>
      <xdr:row>40</xdr:row>
      <xdr:rowOff>119062</xdr:rowOff>
    </xdr:from>
    <xdr:ext cx="2447925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:cNvPr>
            <xdr:cNvSpPr txBox="1"/>
          </xdr:nvSpPr>
          <xdr:spPr>
            <a:xfrm>
              <a:off x="47625" y="6434137"/>
              <a:ext cx="2447925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CH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CH" sz="11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fr-CH" sz="1100" b="0" i="1">
                            <a:latin typeface="Cambria Math"/>
                          </a:rPr>
                          <m:t>𝑠𝑝𝑒𝑧</m:t>
                        </m:r>
                      </m:sub>
                    </m:sSub>
                    <m:r>
                      <a:rPr lang="fr-CH" sz="1100" b="0" i="1">
                        <a:latin typeface="Cambria Math"/>
                      </a:rPr>
                      <m:t>=10 </m:t>
                    </m:r>
                    <m:sSub>
                      <m:sSubPr>
                        <m:ctrlPr>
                          <a:rPr lang="fr-CH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fr-CH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𝑎</m:t>
                        </m:r>
                      </m:e>
                      <m:sub>
                        <m:r>
                          <a:rPr lang="fr-CH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</m:sSub>
                    <m:r>
                      <a:rPr lang="fr-CH" sz="1100" b="0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fr-CH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fr-CH" sz="1100" b="0" i="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  <m:f>
                          <m:fPr>
                            <m:ctrlP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e>
                              <m:sub>
                                <m: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𝑚𝑎𝑥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e>
                              <m:sub>
                                <m: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𝑚𝑎𝑥</m:t>
                                </m:r>
                              </m:sub>
                            </m:sSub>
                            <m: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𝑏</m:t>
                                </m:r>
                              </m:e>
                              <m:sub>
                                <m:r>
                                  <a:rPr lang="fr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𝑇</m:t>
                                </m:r>
                              </m:sub>
                            </m:sSub>
                            <m: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 </m:t>
                            </m:r>
                          </m:den>
                        </m:f>
                        <m:r>
                          <a:rPr lang="fr-CH" sz="1100" b="0" i="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fr-CH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𝑐</m:t>
                        </m:r>
                        <m:r>
                          <a:rPr lang="fr-CH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  <m:sSub>
                          <m:sSubPr>
                            <m:ctrlP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𝑡</m:t>
                            </m:r>
                          </m:e>
                          <m:sub>
                            <m:r>
                              <a:rPr lang="fr-C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𝑚𝑎𝑥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fr-CH">
                            <a:effectLst/>
                          </a:rPr>
                          <m:t> </m:t>
                        </m:r>
                      </m:e>
                    </m:d>
                  </m:oMath>
                </m:oMathPara>
              </a14:m>
              <a:endParaRPr lang="fr-CH" sz="1100"/>
            </a:p>
          </xdr:txBody>
        </xdr:sp>
      </mc:Choice>
      <mc:Fallback xmlns="">
        <xdr:sp macro="" textlink="">
          <xdr:nvSpPr>
            <xdr:cNvPr id="4" name="ZoneTexte 3"/>
            <xdr:cNvSpPr txBox="1"/>
          </xdr:nvSpPr>
          <xdr:spPr>
            <a:xfrm>
              <a:off x="47625" y="6434137"/>
              <a:ext cx="2447925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fr-CH" sz="1100" b="0" i="0">
                  <a:latin typeface="Cambria Math"/>
                </a:rPr>
                <a:t>𝑉_𝑠𝑝𝑒𝑧=10 </a:t>
              </a:r>
              <a:r>
                <a:rPr lang="fr-CH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𝑎_𝑇 </a:t>
              </a:r>
              <a:r>
                <a:rPr lang="fr-CH" sz="1100" b="0" i="0">
                  <a:latin typeface="Cambria Math"/>
                </a:rPr>
                <a:t> (</a:t>
              </a:r>
              <a:r>
                <a:rPr lang="fr-CH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𝑡_𝑚𝑎𝑥/(𝑡_𝑚𝑎𝑥+𝑏_𝑇  )−𝑐 𝑡_𝑚𝑎𝑥 "</a:t>
              </a:r>
              <a:r>
                <a:rPr lang="fr-CH" i="0">
                  <a:effectLst/>
                </a:rPr>
                <a:t> </a:t>
              </a:r>
              <a:r>
                <a:rPr lang="fr-CH" i="0">
                  <a:effectLst/>
                  <a:latin typeface="Cambria Math"/>
                </a:rPr>
                <a:t>" )</a:t>
              </a:r>
              <a:endParaRPr lang="fr-CH" sz="11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119576</xdr:colOff>
      <xdr:row>0</xdr:row>
      <xdr:rowOff>91440</xdr:rowOff>
    </xdr:from>
    <xdr:to>
      <xdr:col>0</xdr:col>
      <xdr:colOff>700602</xdr:colOff>
      <xdr:row>4</xdr:row>
      <xdr:rowOff>161323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76" y="91440"/>
          <a:ext cx="581026" cy="752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geo.fr.ch/index.php?lang=de" TargetMode="Externa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geo.fr.ch/index.php?lang=de" TargetMode="External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2:H74"/>
  <sheetViews>
    <sheetView view="pageLayout" zoomScale="50" zoomScaleNormal="100" zoomScaleSheetLayoutView="70" zoomScalePageLayoutView="50" workbookViewId="0">
      <selection activeCell="G63" sqref="G63"/>
    </sheetView>
  </sheetViews>
  <sheetFormatPr baseColWidth="10" defaultRowHeight="12.75" x14ac:dyDescent="0.2"/>
  <cols>
    <col min="1" max="1" width="1.140625" customWidth="1"/>
    <col min="2" max="2" width="9.42578125" customWidth="1"/>
    <col min="3" max="3" width="20.85546875" customWidth="1"/>
    <col min="4" max="4" width="9.28515625" style="2" customWidth="1"/>
    <col min="5" max="5" width="10.42578125" customWidth="1"/>
    <col min="6" max="6" width="13.85546875" customWidth="1"/>
    <col min="7" max="7" width="20.42578125" customWidth="1"/>
    <col min="8" max="8" width="25" customWidth="1"/>
    <col min="9" max="9" width="6.42578125" customWidth="1"/>
  </cols>
  <sheetData>
    <row r="2" spans="2:8" ht="15.75" customHeight="1" x14ac:dyDescent="0.2">
      <c r="C2" s="288" t="s">
        <v>209</v>
      </c>
      <c r="D2" s="288"/>
      <c r="E2" s="288"/>
      <c r="F2" s="288"/>
      <c r="G2" s="288"/>
      <c r="H2" s="288"/>
    </row>
    <row r="3" spans="2:8" ht="12.75" customHeight="1" x14ac:dyDescent="0.2">
      <c r="C3" s="288"/>
      <c r="D3" s="288"/>
      <c r="E3" s="288"/>
      <c r="F3" s="288"/>
      <c r="G3" s="288"/>
      <c r="H3" s="288"/>
    </row>
    <row r="4" spans="2:8" ht="12.75" customHeight="1" x14ac:dyDescent="0.2">
      <c r="C4" s="288"/>
      <c r="D4" s="288"/>
      <c r="E4" s="288"/>
      <c r="F4" s="288"/>
      <c r="G4" s="288"/>
      <c r="H4" s="288"/>
    </row>
    <row r="6" spans="2:8" x14ac:dyDescent="0.2">
      <c r="B6" s="13" t="s">
        <v>183</v>
      </c>
      <c r="C6" s="241" t="s">
        <v>235</v>
      </c>
      <c r="D6" s="289" t="s">
        <v>211</v>
      </c>
      <c r="E6" s="289"/>
      <c r="F6" s="290" t="s">
        <v>212</v>
      </c>
      <c r="G6" s="290"/>
    </row>
    <row r="7" spans="2:8" ht="15" x14ac:dyDescent="0.25">
      <c r="B7" s="118"/>
      <c r="C7" s="118"/>
      <c r="D7" s="154"/>
      <c r="E7" s="118"/>
      <c r="F7" s="118"/>
    </row>
    <row r="8" spans="2:8" ht="12.75" customHeight="1" x14ac:dyDescent="0.2">
      <c r="B8" s="291" t="s">
        <v>208</v>
      </c>
      <c r="C8" s="292"/>
      <c r="D8" s="119" t="s">
        <v>136</v>
      </c>
      <c r="E8" s="119" t="s">
        <v>137</v>
      </c>
      <c r="F8" s="119" t="s">
        <v>138</v>
      </c>
      <c r="G8" s="119" t="s">
        <v>199</v>
      </c>
      <c r="H8" s="203" t="s">
        <v>204</v>
      </c>
    </row>
    <row r="9" spans="2:8" ht="13.5" x14ac:dyDescent="0.2">
      <c r="B9" s="293"/>
      <c r="C9" s="294"/>
      <c r="D9" s="120" t="s">
        <v>139</v>
      </c>
      <c r="E9" s="121" t="s">
        <v>140</v>
      </c>
      <c r="F9" s="120" t="s">
        <v>139</v>
      </c>
      <c r="G9" s="161"/>
      <c r="H9" s="161"/>
    </row>
    <row r="10" spans="2:8" ht="2.25" customHeight="1" x14ac:dyDescent="0.2">
      <c r="B10" s="246"/>
      <c r="C10" s="247"/>
      <c r="D10" s="248"/>
      <c r="E10" s="249"/>
      <c r="F10" s="250"/>
      <c r="G10" s="251"/>
      <c r="H10" s="251"/>
    </row>
    <row r="11" spans="2:8" x14ac:dyDescent="0.2">
      <c r="B11" s="295" t="s">
        <v>141</v>
      </c>
      <c r="C11" s="296"/>
      <c r="D11" s="225"/>
      <c r="E11" s="215"/>
      <c r="F11" s="216"/>
      <c r="G11" s="218"/>
      <c r="H11" s="218"/>
    </row>
    <row r="12" spans="2:8" x14ac:dyDescent="0.2">
      <c r="B12" s="122"/>
      <c r="C12" s="232" t="s">
        <v>189</v>
      </c>
      <c r="D12" s="159">
        <v>200</v>
      </c>
      <c r="E12" s="220">
        <f>IF(OR(ISBLANK(D12),ISBLANK(C12)),"",VLOOKUP(C12,liste!$C$17:$D$48,2,0))</f>
        <v>1</v>
      </c>
      <c r="F12" s="192">
        <f>IF(ISNUMBER(E12),D12*E12,"")</f>
        <v>200</v>
      </c>
      <c r="G12" s="233" t="s">
        <v>135</v>
      </c>
      <c r="H12" s="234" t="s">
        <v>205</v>
      </c>
    </row>
    <row r="13" spans="2:8" x14ac:dyDescent="0.2">
      <c r="B13" s="122"/>
      <c r="C13" s="232"/>
      <c r="D13" s="159"/>
      <c r="E13" s="220" t="str">
        <f>IF(OR(ISBLANK(D13),ISBLANK(C13)),"",VLOOKUP(C13,liste!$C$17:$D$48,2,0))</f>
        <v/>
      </c>
      <c r="F13" s="192" t="str">
        <f t="shared" ref="F13:F37" si="0">IF(ISNUMBER(E13),D13*E13,"")</f>
        <v/>
      </c>
      <c r="G13" s="233"/>
      <c r="H13" s="234"/>
    </row>
    <row r="14" spans="2:8" x14ac:dyDescent="0.2">
      <c r="B14" s="122"/>
      <c r="C14" s="232"/>
      <c r="D14" s="159"/>
      <c r="E14" s="220" t="str">
        <f>IF(OR(ISBLANK(D14),ISBLANK(C14)),"",VLOOKUP(C14,liste!$C$17:$D$48,2,0))</f>
        <v/>
      </c>
      <c r="F14" s="192" t="str">
        <f t="shared" si="0"/>
        <v/>
      </c>
      <c r="G14" s="233"/>
      <c r="H14" s="233"/>
    </row>
    <row r="15" spans="2:8" x14ac:dyDescent="0.2">
      <c r="B15" s="122"/>
      <c r="C15" s="232"/>
      <c r="D15" s="159"/>
      <c r="E15" s="220"/>
      <c r="F15" s="192"/>
      <c r="G15" s="233"/>
      <c r="H15" s="233"/>
    </row>
    <row r="16" spans="2:8" x14ac:dyDescent="0.2">
      <c r="B16" s="122"/>
      <c r="C16" s="232"/>
      <c r="D16" s="159"/>
      <c r="E16" s="220"/>
      <c r="F16" s="192"/>
      <c r="G16" s="233"/>
      <c r="H16" s="233"/>
    </row>
    <row r="17" spans="2:8" x14ac:dyDescent="0.2">
      <c r="B17" s="122"/>
      <c r="C17" s="232"/>
      <c r="D17" s="159"/>
      <c r="E17" s="220" t="str">
        <f>IF(OR(ISBLANK(D17),ISBLANK(C17)),"",VLOOKUP(C17,liste!$C$17:$D$48,2,0))</f>
        <v/>
      </c>
      <c r="F17" s="192" t="str">
        <f t="shared" si="0"/>
        <v/>
      </c>
      <c r="G17" s="233"/>
      <c r="H17" s="233"/>
    </row>
    <row r="18" spans="2:8" x14ac:dyDescent="0.2">
      <c r="B18" s="286" t="s">
        <v>195</v>
      </c>
      <c r="C18" s="287"/>
      <c r="D18" s="192"/>
      <c r="E18" s="220" t="str">
        <f>IF(OR(ISBLANK(D18),ISBLANK(C18)),"",VLOOKUP(C18,liste!$C$17:$D$48,2,0))</f>
        <v/>
      </c>
      <c r="F18" s="192" t="str">
        <f t="shared" si="0"/>
        <v/>
      </c>
      <c r="G18" s="222"/>
      <c r="H18" s="222"/>
    </row>
    <row r="19" spans="2:8" x14ac:dyDescent="0.2">
      <c r="B19" s="122"/>
      <c r="C19" s="232" t="s">
        <v>191</v>
      </c>
      <c r="D19" s="159"/>
      <c r="E19" s="220" t="str">
        <f>IF(OR(ISBLANK(D19),ISBLANK(C19)),"",VLOOKUP(C19,liste!$C$17:$D$48,2,0))</f>
        <v/>
      </c>
      <c r="F19" s="192" t="str">
        <f t="shared" si="0"/>
        <v/>
      </c>
      <c r="G19" s="233"/>
      <c r="H19" s="233"/>
    </row>
    <row r="20" spans="2:8" x14ac:dyDescent="0.2">
      <c r="B20" s="122"/>
      <c r="C20" s="232"/>
      <c r="D20" s="159"/>
      <c r="E20" s="220" t="str">
        <f>IF(OR(ISBLANK(D20),ISBLANK(C20)),"",VLOOKUP(C20,liste!$C$17:$D$48,2,0))</f>
        <v/>
      </c>
      <c r="F20" s="192" t="str">
        <f t="shared" si="0"/>
        <v/>
      </c>
      <c r="G20" s="233"/>
      <c r="H20" s="233"/>
    </row>
    <row r="21" spans="2:8" x14ac:dyDescent="0.2">
      <c r="B21" s="208"/>
      <c r="C21" s="235"/>
      <c r="D21" s="160"/>
      <c r="E21" s="220" t="str">
        <f>IF(OR(ISBLANK(D21),ISBLANK(C21)),"",VLOOKUP(C21,liste!$C$17:$D$48,2,0))</f>
        <v/>
      </c>
      <c r="F21" s="192" t="str">
        <f t="shared" si="0"/>
        <v/>
      </c>
      <c r="G21" s="233"/>
      <c r="H21" s="233"/>
    </row>
    <row r="22" spans="2:8" x14ac:dyDescent="0.2">
      <c r="B22" s="286" t="s">
        <v>234</v>
      </c>
      <c r="C22" s="287"/>
      <c r="D22" s="192"/>
      <c r="E22" s="220" t="str">
        <f>IF(OR(ISBLANK(D22),ISBLANK(C22)),"",VLOOKUP(C22,liste!$C$17:$D$48,2,0))</f>
        <v/>
      </c>
      <c r="F22" s="192" t="str">
        <f t="shared" si="0"/>
        <v/>
      </c>
      <c r="G22" s="222"/>
      <c r="H22" s="222"/>
    </row>
    <row r="23" spans="2:8" x14ac:dyDescent="0.2">
      <c r="B23" s="122"/>
      <c r="C23" s="232" t="s">
        <v>149</v>
      </c>
      <c r="D23" s="159">
        <v>150</v>
      </c>
      <c r="E23" s="220">
        <f>IF(OR(ISBLANK(D23),ISBLANK(C23)),"",VLOOKUP(C23,liste!$C$17:$D$48,2,0))</f>
        <v>1</v>
      </c>
      <c r="F23" s="192">
        <f t="shared" si="0"/>
        <v>150</v>
      </c>
      <c r="G23" s="233" t="s">
        <v>169</v>
      </c>
      <c r="H23" s="234" t="s">
        <v>206</v>
      </c>
    </row>
    <row r="24" spans="2:8" x14ac:dyDescent="0.2">
      <c r="B24" s="127"/>
      <c r="C24" s="235" t="s">
        <v>145</v>
      </c>
      <c r="D24" s="159">
        <v>100</v>
      </c>
      <c r="E24" s="220">
        <f>IF(OR(ISBLANK(D24),ISBLANK(C24)),"",VLOOKUP(C24,liste!$C$17:$D$48,2,0))</f>
        <v>0.6</v>
      </c>
      <c r="F24" s="192">
        <f t="shared" si="0"/>
        <v>60</v>
      </c>
      <c r="G24" s="233"/>
      <c r="H24" s="234" t="s">
        <v>207</v>
      </c>
    </row>
    <row r="25" spans="2:8" x14ac:dyDescent="0.2">
      <c r="B25" s="127"/>
      <c r="C25" s="232"/>
      <c r="D25" s="159"/>
      <c r="E25" s="220" t="str">
        <f>IF(OR(ISBLANK(D25),ISBLANK(C25)),"",VLOOKUP(C25,liste!$C$17:$D$48,2,0))</f>
        <v/>
      </c>
      <c r="F25" s="192" t="str">
        <f t="shared" si="0"/>
        <v/>
      </c>
      <c r="G25" s="233"/>
      <c r="H25" s="233"/>
    </row>
    <row r="26" spans="2:8" ht="2.25" customHeight="1" x14ac:dyDescent="0.2">
      <c r="B26" s="127"/>
      <c r="C26" s="232"/>
      <c r="D26" s="159"/>
      <c r="E26" s="220" t="str">
        <f>IF(OR(ISBLANK(D26),ISBLANK(C26)),"",VLOOKUP(C26,liste!$C$17:$D$48,2,0))</f>
        <v/>
      </c>
      <c r="F26" s="192" t="str">
        <f t="shared" si="0"/>
        <v/>
      </c>
      <c r="G26" s="233"/>
      <c r="H26" s="233"/>
    </row>
    <row r="27" spans="2:8" x14ac:dyDescent="0.2">
      <c r="B27" s="127"/>
      <c r="C27" s="232"/>
      <c r="D27" s="159"/>
      <c r="E27" s="220"/>
      <c r="F27" s="192"/>
      <c r="G27" s="233"/>
      <c r="H27" s="233"/>
    </row>
    <row r="28" spans="2:8" x14ac:dyDescent="0.2">
      <c r="B28" s="127"/>
      <c r="C28" s="232"/>
      <c r="D28" s="159"/>
      <c r="E28" s="220"/>
      <c r="F28" s="192"/>
      <c r="G28" s="233"/>
      <c r="H28" s="233"/>
    </row>
    <row r="29" spans="2:8" x14ac:dyDescent="0.2">
      <c r="B29" s="122"/>
      <c r="C29" s="232"/>
      <c r="D29" s="159"/>
      <c r="E29" s="220" t="str">
        <f>IF(OR(ISBLANK(D29),ISBLANK(C29)),"",VLOOKUP(C29,liste!$C$17:$D$48,2,0))</f>
        <v/>
      </c>
      <c r="F29" s="192" t="str">
        <f t="shared" si="0"/>
        <v/>
      </c>
      <c r="G29" s="233"/>
      <c r="H29" s="233"/>
    </row>
    <row r="30" spans="2:8" x14ac:dyDescent="0.2">
      <c r="B30" s="211"/>
      <c r="C30" s="212"/>
      <c r="D30" s="204"/>
      <c r="E30" s="226" t="str">
        <f>IF(OR(ISBLANK(D30),ISBLANK(C30)),"",VLOOKUP(C30,liste!$C$17:$D$48,2,0))</f>
        <v/>
      </c>
      <c r="F30" s="227" t="str">
        <f t="shared" si="0"/>
        <v/>
      </c>
      <c r="G30" s="206"/>
      <c r="H30" s="206"/>
    </row>
    <row r="31" spans="2:8" x14ac:dyDescent="0.2">
      <c r="B31" s="258"/>
      <c r="C31" s="259"/>
      <c r="D31" s="260"/>
      <c r="E31" s="261"/>
      <c r="F31" s="262"/>
      <c r="G31" s="264"/>
      <c r="H31" s="264"/>
    </row>
    <row r="32" spans="2:8" x14ac:dyDescent="0.2">
      <c r="B32" s="223" t="s">
        <v>147</v>
      </c>
      <c r="C32" s="224"/>
      <c r="D32" s="225"/>
      <c r="E32" s="215" t="str">
        <f>IF(OR(ISBLANK(D32),ISBLANK(C32)),"",VLOOKUP(C32,liste!$C$17:$D$48,2,0))</f>
        <v/>
      </c>
      <c r="F32" s="225" t="str">
        <f t="shared" si="0"/>
        <v/>
      </c>
      <c r="G32" s="218"/>
      <c r="H32" s="218"/>
    </row>
    <row r="33" spans="2:8" x14ac:dyDescent="0.2">
      <c r="B33" s="122"/>
      <c r="C33" s="123" t="s">
        <v>215</v>
      </c>
      <c r="D33" s="159">
        <v>500</v>
      </c>
      <c r="E33" s="220">
        <f>IF(OR(ISBLANK(D33),ISBLANK(C33)),"",VLOOKUP(C33,liste!$C$17:$D$48,2,0))</f>
        <v>0.15</v>
      </c>
      <c r="F33" s="192">
        <f t="shared" si="0"/>
        <v>75</v>
      </c>
      <c r="G33" s="233"/>
      <c r="H33" s="233"/>
    </row>
    <row r="34" spans="2:8" x14ac:dyDescent="0.2">
      <c r="B34" s="122"/>
      <c r="C34" s="232"/>
      <c r="D34" s="159"/>
      <c r="E34" s="220" t="str">
        <f>IF(OR(ISBLANK(D34),ISBLANK(C34)),"",VLOOKUP(C34,liste!$C$17:$D$48,2,0))</f>
        <v/>
      </c>
      <c r="F34" s="192" t="str">
        <f t="shared" si="0"/>
        <v/>
      </c>
      <c r="G34" s="233"/>
      <c r="H34" s="233"/>
    </row>
    <row r="35" spans="2:8" x14ac:dyDescent="0.2">
      <c r="B35" s="122"/>
      <c r="C35" s="232"/>
      <c r="D35" s="159"/>
      <c r="E35" s="220" t="str">
        <f>IF(OR(ISBLANK(D35),ISBLANK(C35)),"",VLOOKUP(C35,liste!$C$17:$D$48,2,0))</f>
        <v/>
      </c>
      <c r="F35" s="192" t="str">
        <f t="shared" si="0"/>
        <v/>
      </c>
      <c r="G35" s="233"/>
      <c r="H35" s="233"/>
    </row>
    <row r="36" spans="2:8" x14ac:dyDescent="0.2">
      <c r="B36" s="208"/>
      <c r="C36" s="232"/>
      <c r="D36" s="159"/>
      <c r="E36" s="220" t="str">
        <f>IF(OR(ISBLANK(D36),ISBLANK(C36)),"",VLOOKUP(C36,liste!$C$17:$D$48,2,0))</f>
        <v/>
      </c>
      <c r="F36" s="192" t="str">
        <f t="shared" si="0"/>
        <v/>
      </c>
      <c r="G36" s="233"/>
      <c r="H36" s="233"/>
    </row>
    <row r="37" spans="2:8" x14ac:dyDescent="0.2">
      <c r="B37" s="213"/>
      <c r="C37" s="232"/>
      <c r="D37" s="159"/>
      <c r="E37" s="220" t="str">
        <f>IF(OR(ISBLANK(D37),ISBLANK(C37)),"",VLOOKUP(C37,liste!$C$17:$D$48,2,0))</f>
        <v/>
      </c>
      <c r="F37" s="192" t="str">
        <f t="shared" si="0"/>
        <v/>
      </c>
      <c r="G37" s="233"/>
      <c r="H37" s="233"/>
    </row>
    <row r="38" spans="2:8" x14ac:dyDescent="0.2">
      <c r="B38" s="228" t="s">
        <v>202</v>
      </c>
      <c r="C38" s="229"/>
      <c r="D38" s="192"/>
      <c r="E38" s="220"/>
      <c r="F38" s="192"/>
      <c r="G38" s="222"/>
      <c r="H38" s="222"/>
    </row>
    <row r="39" spans="2:8" x14ac:dyDescent="0.2">
      <c r="B39" s="133" t="s">
        <v>214</v>
      </c>
      <c r="C39" s="132"/>
      <c r="D39" s="159"/>
      <c r="E39" s="124"/>
      <c r="F39" s="192">
        <f>D39*E39</f>
        <v>0</v>
      </c>
      <c r="G39" s="233"/>
      <c r="H39" s="233"/>
    </row>
    <row r="40" spans="2:8" x14ac:dyDescent="0.2">
      <c r="B40" s="133" t="s">
        <v>213</v>
      </c>
      <c r="C40" s="132"/>
      <c r="D40" s="272"/>
      <c r="E40" s="226">
        <v>0</v>
      </c>
      <c r="F40" s="227">
        <f>D40*E40</f>
        <v>0</v>
      </c>
      <c r="G40" s="266"/>
      <c r="H40" s="236"/>
    </row>
    <row r="41" spans="2:8" x14ac:dyDescent="0.2">
      <c r="B41" s="157" t="s">
        <v>233</v>
      </c>
      <c r="C41" s="267"/>
      <c r="D41" s="268">
        <f>SUM(D11:D40)</f>
        <v>950</v>
      </c>
      <c r="E41" s="269"/>
      <c r="F41" s="268">
        <f>SUM(F11:F40)</f>
        <v>485</v>
      </c>
      <c r="G41" s="270"/>
    </row>
    <row r="43" spans="2:8" x14ac:dyDescent="0.2">
      <c r="D43" s="119" t="s">
        <v>136</v>
      </c>
      <c r="E43" s="119" t="s">
        <v>137</v>
      </c>
      <c r="F43" s="119" t="s">
        <v>138</v>
      </c>
    </row>
    <row r="44" spans="2:8" x14ac:dyDescent="0.2">
      <c r="B44" s="242" t="s">
        <v>170</v>
      </c>
      <c r="C44" s="243"/>
      <c r="D44" s="189">
        <f>SUMIF(G11:G39,"Retentionsanlage",D11:D39)</f>
        <v>200</v>
      </c>
      <c r="E44" s="190">
        <v>0.05</v>
      </c>
      <c r="F44" s="189">
        <f>D44*E44</f>
        <v>10</v>
      </c>
    </row>
    <row r="45" spans="2:8" x14ac:dyDescent="0.2">
      <c r="B45" s="191" t="s">
        <v>172</v>
      </c>
      <c r="C45" s="244"/>
      <c r="D45" s="192">
        <f>SUMIF(G11:G38,"Versickerungsanlage",D11:D38)+D40</f>
        <v>150</v>
      </c>
      <c r="E45" s="193">
        <v>0</v>
      </c>
      <c r="F45" s="192">
        <f>D45*E45</f>
        <v>0</v>
      </c>
    </row>
    <row r="46" spans="2:8" x14ac:dyDescent="0.2">
      <c r="B46" s="194" t="s">
        <v>201</v>
      </c>
      <c r="C46" s="245"/>
      <c r="D46" s="237">
        <f>SUMIF(G12:G37,"",D12:D37)</f>
        <v>600</v>
      </c>
      <c r="E46" s="196">
        <f>IF(D46=0,0,F46/D46)</f>
        <v>0.22500000000000001</v>
      </c>
      <c r="F46" s="197">
        <f>SUMIF(G12:G38,"",F12:F38)</f>
        <v>135</v>
      </c>
      <c r="G46" s="271"/>
    </row>
    <row r="47" spans="2:8" ht="12.75" customHeight="1" x14ac:dyDescent="0.2">
      <c r="B47" s="157" t="s">
        <v>148</v>
      </c>
      <c r="C47" s="158"/>
      <c r="D47" s="155">
        <f>SUMIF(G11:G40,"",D11:D40)+SUM(D44:D45)</f>
        <v>950</v>
      </c>
      <c r="E47" s="198" t="s">
        <v>152</v>
      </c>
      <c r="F47" s="155">
        <f>SUM(F44:F46)</f>
        <v>145</v>
      </c>
      <c r="G47" s="198" t="s">
        <v>174</v>
      </c>
    </row>
    <row r="48" spans="2:8" x14ac:dyDescent="0.2">
      <c r="B48" s="253" t="s">
        <v>173</v>
      </c>
      <c r="C48" s="131"/>
      <c r="D48" s="156"/>
      <c r="E48" s="130"/>
      <c r="F48" s="275">
        <f>IF(D47=0,"",F47/D47)</f>
        <v>0.15263157894736842</v>
      </c>
    </row>
    <row r="49" spans="2:6" ht="14.45" customHeight="1" x14ac:dyDescent="0.2">
      <c r="B49" s="252" t="s">
        <v>200</v>
      </c>
      <c r="C49" s="131"/>
      <c r="D49" s="156"/>
      <c r="E49" s="130"/>
      <c r="F49" s="240">
        <v>0.15</v>
      </c>
    </row>
    <row r="50" spans="2:6" ht="15.75" customHeight="1" x14ac:dyDescent="0.2"/>
    <row r="51" spans="2:6" x14ac:dyDescent="0.2">
      <c r="B51" s="13" t="s">
        <v>186</v>
      </c>
      <c r="E51" s="164"/>
    </row>
    <row r="52" spans="2:6" x14ac:dyDescent="0.2">
      <c r="C52" s="163" t="s">
        <v>187</v>
      </c>
      <c r="D52" s="238">
        <v>6</v>
      </c>
      <c r="E52" s="199" t="s">
        <v>151</v>
      </c>
      <c r="F52" s="152"/>
    </row>
    <row r="53" spans="2:6" x14ac:dyDescent="0.2">
      <c r="C53" s="163" t="s">
        <v>188</v>
      </c>
      <c r="D53" s="238">
        <v>2</v>
      </c>
      <c r="E53" s="199" t="s">
        <v>151</v>
      </c>
      <c r="F53" s="151"/>
    </row>
    <row r="54" spans="2:6" x14ac:dyDescent="0.2">
      <c r="C54" s="163" t="s">
        <v>203</v>
      </c>
      <c r="D54" s="239">
        <v>1</v>
      </c>
      <c r="F54" s="151"/>
    </row>
    <row r="55" spans="2:6" x14ac:dyDescent="0.2">
      <c r="F55" s="151"/>
    </row>
    <row r="62" spans="2:6" x14ac:dyDescent="0.2">
      <c r="B62" s="254"/>
    </row>
    <row r="64" spans="2:6" x14ac:dyDescent="0.2">
      <c r="B64" s="273"/>
      <c r="C64" s="273"/>
      <c r="D64" s="274"/>
      <c r="E64" s="151"/>
    </row>
    <row r="65" spans="2:8" ht="12.2" customHeight="1" x14ac:dyDescent="0.2">
      <c r="B65" s="165" t="s">
        <v>181</v>
      </c>
      <c r="C65" s="166"/>
      <c r="D65" s="200"/>
      <c r="E65" s="170">
        <v>3.5</v>
      </c>
      <c r="F65" s="174" t="s">
        <v>184</v>
      </c>
    </row>
    <row r="66" spans="2:8" ht="12.2" customHeight="1" x14ac:dyDescent="0.2">
      <c r="B66" s="167" t="s">
        <v>182</v>
      </c>
      <c r="C66" s="150"/>
      <c r="D66" s="201"/>
      <c r="E66" s="171">
        <v>2.7</v>
      </c>
      <c r="F66" s="175" t="s">
        <v>184</v>
      </c>
    </row>
    <row r="67" spans="2:8" ht="12.2" customHeight="1" x14ac:dyDescent="0.2">
      <c r="B67" s="168" t="s">
        <v>185</v>
      </c>
      <c r="C67" s="169"/>
      <c r="D67" s="202"/>
      <c r="E67" s="178">
        <f>IF((D52^2*D53^2-4*D54*D52*E66)&lt;0,"",IF(ISBLANK(D52),"",(D52*D53-SQRT(D52^2*D53^2-4*D54*D52*E66))/(2*D54*D52)))</f>
        <v>0.25838015129043379</v>
      </c>
      <c r="F67" s="176" t="s">
        <v>151</v>
      </c>
    </row>
    <row r="68" spans="2:8" ht="12.2" customHeight="1" x14ac:dyDescent="0.2">
      <c r="B68" s="254"/>
    </row>
    <row r="70" spans="2:8" x14ac:dyDescent="0.2">
      <c r="B70" s="230"/>
      <c r="C70" s="231" t="s">
        <v>210</v>
      </c>
    </row>
    <row r="72" spans="2:8" x14ac:dyDescent="0.2">
      <c r="B72" s="254"/>
      <c r="C72" s="231"/>
    </row>
    <row r="74" spans="2:8" x14ac:dyDescent="0.2">
      <c r="E74" s="7" t="s">
        <v>236</v>
      </c>
      <c r="G74" s="276"/>
      <c r="H74" s="276"/>
    </row>
  </sheetData>
  <sheetProtection password="C71F" sheet="1" objects="1" scenarios="1"/>
  <mergeCells count="7">
    <mergeCell ref="B18:C18"/>
    <mergeCell ref="B22:C22"/>
    <mergeCell ref="C2:H4"/>
    <mergeCell ref="D6:E6"/>
    <mergeCell ref="F6:G6"/>
    <mergeCell ref="B8:C9"/>
    <mergeCell ref="B11:C11"/>
  </mergeCells>
  <dataValidations count="2">
    <dataValidation allowBlank="1" showInputMessage="1" showErrorMessage="1" prompt="Fläche welche an einer existierenden Anlage angeschlossen. Der Abflussbeiwert einer bestehenden Retentionsanlage ist ebenfalls einzutragen." sqref="D39:D41" xr:uid="{00000000-0002-0000-0000-000000000000}"/>
    <dataValidation type="decimal" errorStyle="warning" showInputMessage="1" showErrorMessage="1" error="Erhöhen Sie die Grösse der Versickerunganlage. Die Fläche ist zu klein." sqref="E67" xr:uid="{00000000-0002-0000-0000-000001000000}">
      <formula1>0</formula1>
      <formula2>MIN(D52:D53)/3</formula2>
    </dataValidation>
  </dataValidations>
  <pageMargins left="0.7" right="0.7" top="0.75" bottom="0.75" header="0.3" footer="0.3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liste!$B$11:$B$13</xm:f>
          </x14:formula1>
          <xm:sqref>G12:G17 G19:G21 G23:G31 G33:G37</xm:sqref>
        </x14:dataValidation>
        <x14:dataValidation type="list" allowBlank="1" showInputMessage="1" showErrorMessage="1" prompt="Wählen Sie bitte den Belagstyp" xr:uid="{00000000-0002-0000-0000-000003000000}">
          <x14:formula1>
            <xm:f>liste!$C$25:$C$31</xm:f>
          </x14:formula1>
          <xm:sqref>C23:C29</xm:sqref>
        </x14:dataValidation>
        <x14:dataValidation type="list" allowBlank="1" showInputMessage="1" showErrorMessage="1" prompt="Wählen Sie bitte die Aufbaudicke des begrünten Dachs" xr:uid="{00000000-0002-0000-0000-000004000000}">
          <x14:formula1>
            <xm:f>liste!$C$20:$C$24</xm:f>
          </x14:formula1>
          <xm:sqref>C19:C21</xm:sqref>
        </x14:dataValidation>
        <x14:dataValidation type="list" allowBlank="1" showInputMessage="1" showErrorMessage="1" prompt="Wählen Sie Bitte die Dachfläche in der Liste_x000a_" xr:uid="{00000000-0002-0000-0000-000005000000}">
          <x14:formula1>
            <xm:f>liste!$C$16:$C$18</xm:f>
          </x14:formula1>
          <xm:sqref>C12:C17</xm:sqref>
        </x14:dataValidation>
        <x14:dataValidation type="list" allowBlank="1" showInputMessage="1" showErrorMessage="1" prompt="Wählen Sie bitte die Art der Durchlässigen Fläche" xr:uid="{00000000-0002-0000-0000-000006000000}">
          <x14:formula1>
            <xm:f>liste!$C$34:$C$46</xm:f>
          </x14:formula1>
          <xm:sqref>C33:C37</xm:sqref>
        </x14:dataValidation>
        <x14:dataValidation type="list" allowBlank="1" showInputMessage="1" showErrorMessage="1" xr:uid="{00000000-0002-0000-0000-000007000000}">
          <x14:formula1>
            <xm:f>liste!$B$11:$B$12</xm:f>
          </x14:formula1>
          <xm:sqref>G39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B1:H71"/>
  <sheetViews>
    <sheetView tabSelected="1" zoomScaleNormal="100" zoomScaleSheetLayoutView="70" zoomScalePageLayoutView="90" workbookViewId="0">
      <selection activeCell="H42" sqref="H42"/>
    </sheetView>
  </sheetViews>
  <sheetFormatPr baseColWidth="10" defaultRowHeight="12.75" x14ac:dyDescent="0.2"/>
  <cols>
    <col min="1" max="1" width="0.28515625" customWidth="1"/>
    <col min="2" max="2" width="10.7109375" customWidth="1"/>
    <col min="3" max="3" width="23.28515625" customWidth="1"/>
    <col min="4" max="4" width="9.28515625" style="2" customWidth="1"/>
    <col min="5" max="5" width="10.42578125" customWidth="1"/>
    <col min="6" max="6" width="16.5703125" customWidth="1"/>
    <col min="7" max="7" width="18" customWidth="1"/>
    <col min="8" max="8" width="19.7109375" customWidth="1"/>
  </cols>
  <sheetData>
    <row r="1" spans="2:8" ht="62.1" customHeight="1" x14ac:dyDescent="0.2">
      <c r="C1" s="297" t="s">
        <v>209</v>
      </c>
      <c r="D1" s="297"/>
      <c r="E1" s="297"/>
      <c r="F1" s="297"/>
      <c r="G1" s="297"/>
      <c r="H1" s="297"/>
    </row>
    <row r="3" spans="2:8" x14ac:dyDescent="0.2">
      <c r="B3" s="13" t="s">
        <v>183</v>
      </c>
      <c r="C3" s="177"/>
      <c r="D3" s="289" t="s">
        <v>211</v>
      </c>
      <c r="E3" s="289"/>
      <c r="F3" s="298"/>
      <c r="G3" s="299"/>
    </row>
    <row r="4" spans="2:8" ht="15" x14ac:dyDescent="0.25">
      <c r="B4" s="118"/>
      <c r="C4" s="118"/>
      <c r="D4" s="154"/>
      <c r="E4" s="118"/>
      <c r="F4" s="118"/>
    </row>
    <row r="5" spans="2:8" x14ac:dyDescent="0.2">
      <c r="B5" s="291" t="s">
        <v>208</v>
      </c>
      <c r="C5" s="292"/>
      <c r="D5" s="119" t="s">
        <v>136</v>
      </c>
      <c r="E5" s="119" t="s">
        <v>137</v>
      </c>
      <c r="F5" s="119" t="s">
        <v>138</v>
      </c>
      <c r="G5" s="119" t="s">
        <v>199</v>
      </c>
      <c r="H5" s="203" t="s">
        <v>204</v>
      </c>
    </row>
    <row r="6" spans="2:8" ht="13.5" x14ac:dyDescent="0.2">
      <c r="B6" s="293"/>
      <c r="C6" s="294"/>
      <c r="D6" s="120" t="s">
        <v>139</v>
      </c>
      <c r="E6" s="121" t="s">
        <v>140</v>
      </c>
      <c r="F6" s="120" t="s">
        <v>139</v>
      </c>
      <c r="G6" s="161"/>
      <c r="H6" s="161"/>
    </row>
    <row r="7" spans="2:8" ht="2.25" customHeight="1" x14ac:dyDescent="0.2">
      <c r="B7" s="246"/>
      <c r="C7" s="247"/>
      <c r="D7" s="248"/>
      <c r="E7" s="249"/>
      <c r="F7" s="250"/>
      <c r="G7" s="251"/>
      <c r="H7" s="251"/>
    </row>
    <row r="8" spans="2:8" x14ac:dyDescent="0.2">
      <c r="B8" s="295" t="s">
        <v>141</v>
      </c>
      <c r="C8" s="296"/>
      <c r="D8" s="214"/>
      <c r="E8" s="215"/>
      <c r="F8" s="216"/>
      <c r="G8" s="217"/>
      <c r="H8" s="218"/>
    </row>
    <row r="9" spans="2:8" x14ac:dyDescent="0.2">
      <c r="B9" s="122"/>
      <c r="C9" s="207"/>
      <c r="D9" s="173"/>
      <c r="E9" s="220" t="str">
        <f>IF(OR(ISBLANK(D9),ISBLANK(C9)),"",VLOOKUP(C9,liste!$C$17:$D$48,2,0))</f>
        <v/>
      </c>
      <c r="F9" s="192" t="str">
        <f>IF(ISNUMBER(E9),D9*E9,"")</f>
        <v/>
      </c>
      <c r="G9" s="172"/>
      <c r="H9" s="277"/>
    </row>
    <row r="10" spans="2:8" x14ac:dyDescent="0.2">
      <c r="B10" s="122"/>
      <c r="C10" s="207"/>
      <c r="D10" s="173"/>
      <c r="E10" s="220" t="str">
        <f>IF(OR(ISBLANK(D10),ISBLANK(C10)),"",VLOOKUP(C10,liste!$C$17:$D$48,2,0))</f>
        <v/>
      </c>
      <c r="F10" s="192" t="str">
        <f t="shared" ref="F10:F14" si="0">IF(ISNUMBER(E10),D10*E10,"")</f>
        <v/>
      </c>
      <c r="G10" s="172"/>
      <c r="H10" s="277"/>
    </row>
    <row r="11" spans="2:8" x14ac:dyDescent="0.2">
      <c r="B11" s="122"/>
      <c r="C11" s="207"/>
      <c r="D11" s="173"/>
      <c r="E11" s="220" t="str">
        <f>IF(OR(ISBLANK(D11),ISBLANK(C11)),"",VLOOKUP(C11,liste!$C$17:$D$48,2,0))</f>
        <v/>
      </c>
      <c r="F11" s="192" t="str">
        <f t="shared" si="0"/>
        <v/>
      </c>
      <c r="G11" s="172"/>
      <c r="H11" s="172"/>
    </row>
    <row r="12" spans="2:8" x14ac:dyDescent="0.2">
      <c r="B12" s="122"/>
      <c r="C12" s="207"/>
      <c r="D12" s="173"/>
      <c r="E12" s="220" t="str">
        <f>IF(OR(ISBLANK(D12),ISBLANK(C12)),"",VLOOKUP(C12,liste!$C$17:$D$48,2,0))</f>
        <v/>
      </c>
      <c r="F12" s="192" t="str">
        <f t="shared" si="0"/>
        <v/>
      </c>
      <c r="G12" s="172"/>
      <c r="H12" s="172"/>
    </row>
    <row r="13" spans="2:8" x14ac:dyDescent="0.2">
      <c r="B13" s="122"/>
      <c r="C13" s="207"/>
      <c r="D13" s="173"/>
      <c r="E13" s="220" t="str">
        <f>IF(OR(ISBLANK(D13),ISBLANK(C13)),"",VLOOKUP(C13,liste!$C$17:$D$48,2,0))</f>
        <v/>
      </c>
      <c r="F13" s="192" t="str">
        <f t="shared" si="0"/>
        <v/>
      </c>
      <c r="G13" s="172"/>
      <c r="H13" s="172"/>
    </row>
    <row r="14" spans="2:8" x14ac:dyDescent="0.2">
      <c r="B14" s="122"/>
      <c r="C14" s="207"/>
      <c r="D14" s="173"/>
      <c r="E14" s="220" t="str">
        <f>IF(OR(ISBLANK(D14),ISBLANK(C14)),"",VLOOKUP(C14,liste!$C$17:$D$48,2,0))</f>
        <v/>
      </c>
      <c r="F14" s="192" t="str">
        <f t="shared" si="0"/>
        <v/>
      </c>
      <c r="G14" s="172"/>
      <c r="H14" s="172"/>
    </row>
    <row r="15" spans="2:8" x14ac:dyDescent="0.2">
      <c r="B15" s="286" t="s">
        <v>195</v>
      </c>
      <c r="C15" s="287"/>
      <c r="D15" s="219"/>
      <c r="E15" s="220" t="str">
        <f>IF(OR(ISBLANK(D15),ISBLANK(C15)),"",VLOOKUP(C15,liste!$C$17:$D$48,2,0))</f>
        <v/>
      </c>
      <c r="F15" s="192" t="str">
        <f t="shared" ref="F15:F34" si="1">IF(ISNUMBER(E15),D15*E15,"")</f>
        <v/>
      </c>
      <c r="G15" s="221"/>
      <c r="H15" s="222"/>
    </row>
    <row r="16" spans="2:8" x14ac:dyDescent="0.2">
      <c r="B16" s="122"/>
      <c r="C16" s="207"/>
      <c r="D16" s="173"/>
      <c r="E16" s="220" t="str">
        <f>IF(OR(ISBLANK(D16),ISBLANK(C16)),"",VLOOKUP(C16,liste!$C$17:$D$48,2,0))</f>
        <v/>
      </c>
      <c r="F16" s="192" t="str">
        <f t="shared" si="1"/>
        <v/>
      </c>
      <c r="G16" s="172"/>
      <c r="H16" s="277"/>
    </row>
    <row r="17" spans="2:8" x14ac:dyDescent="0.2">
      <c r="B17" s="122"/>
      <c r="C17" s="207"/>
      <c r="D17" s="173"/>
      <c r="E17" s="220" t="str">
        <f>IF(OR(ISBLANK(D17),ISBLANK(C17)),"",VLOOKUP(C17,liste!$C$17:$D$48,2,0))</f>
        <v/>
      </c>
      <c r="F17" s="192" t="str">
        <f t="shared" si="1"/>
        <v/>
      </c>
      <c r="G17" s="172"/>
      <c r="H17" s="277"/>
    </row>
    <row r="18" spans="2:8" x14ac:dyDescent="0.2">
      <c r="B18" s="208"/>
      <c r="C18" s="209"/>
      <c r="D18" s="210"/>
      <c r="E18" s="220" t="str">
        <f>IF(OR(ISBLANK(D18),ISBLANK(C18)),"",VLOOKUP(C18,liste!$C$17:$D$48,2,0))</f>
        <v/>
      </c>
      <c r="F18" s="192" t="str">
        <f t="shared" si="1"/>
        <v/>
      </c>
      <c r="G18" s="172"/>
      <c r="H18" s="277"/>
    </row>
    <row r="19" spans="2:8" x14ac:dyDescent="0.2">
      <c r="B19" s="286" t="s">
        <v>234</v>
      </c>
      <c r="C19" s="287"/>
      <c r="D19" s="219"/>
      <c r="E19" s="220" t="str">
        <f>IF(OR(ISBLANK(D19),ISBLANK(C19)),"",VLOOKUP(C19,liste!$C$17:$D$48,2,0))</f>
        <v/>
      </c>
      <c r="F19" s="192" t="str">
        <f t="shared" si="1"/>
        <v/>
      </c>
      <c r="G19" s="221"/>
      <c r="H19" s="222"/>
    </row>
    <row r="20" spans="2:8" x14ac:dyDescent="0.2">
      <c r="B20" s="122"/>
      <c r="C20" s="207"/>
      <c r="D20" s="173"/>
      <c r="E20" s="220" t="str">
        <f>IF(OR(ISBLANK(D20),ISBLANK(C20)),"",VLOOKUP(C20,liste!$C$17:$D$48,2,0))</f>
        <v/>
      </c>
      <c r="F20" s="192" t="str">
        <f t="shared" si="1"/>
        <v/>
      </c>
      <c r="G20" s="172"/>
      <c r="H20" s="277"/>
    </row>
    <row r="21" spans="2:8" x14ac:dyDescent="0.2">
      <c r="B21" s="127"/>
      <c r="C21" s="207"/>
      <c r="D21" s="173"/>
      <c r="E21" s="220" t="str">
        <f>IF(OR(ISBLANK(D21),ISBLANK(C21)),"",VLOOKUP(C21,liste!$C$17:$D$48,2,0))</f>
        <v/>
      </c>
      <c r="F21" s="192" t="str">
        <f t="shared" si="1"/>
        <v/>
      </c>
      <c r="G21" s="172"/>
      <c r="H21" s="277"/>
    </row>
    <row r="22" spans="2:8" x14ac:dyDescent="0.2">
      <c r="B22" s="127"/>
      <c r="C22" s="207"/>
      <c r="D22" s="173"/>
      <c r="E22" s="220" t="str">
        <f>IF(OR(ISBLANK(D22),ISBLANK(C22)),"",VLOOKUP(C22,liste!$C$17:$D$48,2,0))</f>
        <v/>
      </c>
      <c r="F22" s="192" t="str">
        <f t="shared" si="1"/>
        <v/>
      </c>
      <c r="G22" s="172"/>
      <c r="H22" s="277"/>
    </row>
    <row r="23" spans="2:8" x14ac:dyDescent="0.2">
      <c r="B23" s="127"/>
      <c r="C23" s="207"/>
      <c r="D23" s="173"/>
      <c r="E23" s="220" t="str">
        <f>IF(OR(ISBLANK(D23),ISBLANK(C23)),"",VLOOKUP(C23,liste!$C$17:$D$48,2,0))</f>
        <v/>
      </c>
      <c r="F23" s="192" t="str">
        <f t="shared" si="1"/>
        <v/>
      </c>
      <c r="G23" s="172"/>
      <c r="H23" s="277"/>
    </row>
    <row r="24" spans="2:8" x14ac:dyDescent="0.2">
      <c r="B24" s="127"/>
      <c r="C24" s="207"/>
      <c r="D24" s="173"/>
      <c r="E24" s="220" t="str">
        <f>IF(OR(ISBLANK(D24),ISBLANK(C24)),"",VLOOKUP(C24,liste!$C$17:$D$48,2,0))</f>
        <v/>
      </c>
      <c r="F24" s="192" t="str">
        <f t="shared" si="1"/>
        <v/>
      </c>
      <c r="G24" s="172"/>
      <c r="H24" s="172"/>
    </row>
    <row r="25" spans="2:8" x14ac:dyDescent="0.2">
      <c r="B25" s="127"/>
      <c r="C25" s="207"/>
      <c r="D25" s="173"/>
      <c r="E25" s="220" t="str">
        <f>IF(OR(ISBLANK(D25),ISBLANK(C25)),"",VLOOKUP(C25,liste!$C$17:$D$48,2,0))</f>
        <v/>
      </c>
      <c r="F25" s="192" t="str">
        <f t="shared" si="1"/>
        <v/>
      </c>
      <c r="G25" s="172"/>
      <c r="H25" s="172"/>
    </row>
    <row r="26" spans="2:8" x14ac:dyDescent="0.2">
      <c r="B26" s="122"/>
      <c r="C26" s="207"/>
      <c r="D26" s="173"/>
      <c r="E26" s="220" t="str">
        <f>IF(OR(ISBLANK(D26),ISBLANK(C26)),"",VLOOKUP(C26,liste!$C$17:$D$48,2,0))</f>
        <v/>
      </c>
      <c r="F26" s="192" t="str">
        <f t="shared" si="1"/>
        <v/>
      </c>
      <c r="G26" s="172"/>
      <c r="H26" s="172"/>
    </row>
    <row r="27" spans="2:8" ht="2.25" customHeight="1" x14ac:dyDescent="0.2">
      <c r="B27" s="211"/>
      <c r="C27" s="212"/>
      <c r="D27" s="204"/>
      <c r="E27" s="226" t="str">
        <f>IF(OR(ISBLANK(D27),ISBLANK(C27)),"",VLOOKUP(C27,liste!$C$17:$D$48,2,0))</f>
        <v/>
      </c>
      <c r="F27" s="227" t="str">
        <f t="shared" si="1"/>
        <v/>
      </c>
      <c r="G27" s="205"/>
      <c r="H27" s="206"/>
    </row>
    <row r="28" spans="2:8" ht="2.25" customHeight="1" x14ac:dyDescent="0.2">
      <c r="B28" s="258"/>
      <c r="C28" s="259"/>
      <c r="D28" s="260"/>
      <c r="E28" s="261"/>
      <c r="F28" s="262"/>
      <c r="G28" s="263"/>
      <c r="H28" s="264"/>
    </row>
    <row r="29" spans="2:8" x14ac:dyDescent="0.2">
      <c r="B29" s="223" t="s">
        <v>147</v>
      </c>
      <c r="C29" s="224"/>
      <c r="D29" s="225"/>
      <c r="E29" s="215" t="str">
        <f>IF(OR(ISBLANK(D29),ISBLANK(C29)),"",VLOOKUP(C29,liste!$C$17:$D$48,2,0))</f>
        <v/>
      </c>
      <c r="F29" s="225" t="str">
        <f t="shared" si="1"/>
        <v/>
      </c>
      <c r="G29" s="217"/>
      <c r="H29" s="218"/>
    </row>
    <row r="30" spans="2:8" x14ac:dyDescent="0.2">
      <c r="B30" s="122"/>
      <c r="C30" s="256"/>
      <c r="D30" s="173"/>
      <c r="E30" s="220" t="str">
        <f>IF(OR(ISBLANK(D30),ISBLANK(C30)),"",VLOOKUP(C30,liste!$C$17:$D$48,2,0))</f>
        <v/>
      </c>
      <c r="F30" s="192" t="str">
        <f t="shared" si="1"/>
        <v/>
      </c>
      <c r="G30" s="172"/>
      <c r="H30" s="172"/>
    </row>
    <row r="31" spans="2:8" x14ac:dyDescent="0.2">
      <c r="B31" s="122"/>
      <c r="C31" s="256"/>
      <c r="D31" s="173"/>
      <c r="E31" s="220" t="str">
        <f>IF(OR(ISBLANK(D31),ISBLANK(C31)),"",VLOOKUP(C31,liste!$C$17:$D$48,2,0))</f>
        <v/>
      </c>
      <c r="F31" s="192" t="str">
        <f t="shared" si="1"/>
        <v/>
      </c>
      <c r="G31" s="172"/>
      <c r="H31" s="172"/>
    </row>
    <row r="32" spans="2:8" x14ac:dyDescent="0.2">
      <c r="B32" s="122"/>
      <c r="C32" s="256"/>
      <c r="D32" s="173"/>
      <c r="E32" s="220" t="str">
        <f>IF(OR(ISBLANK(D32),ISBLANK(C32)),"",VLOOKUP(C32,liste!$C$17:$D$48,2,0))</f>
        <v/>
      </c>
      <c r="F32" s="192" t="str">
        <f t="shared" si="1"/>
        <v/>
      </c>
      <c r="G32" s="172"/>
      <c r="H32" s="172"/>
    </row>
    <row r="33" spans="2:8" x14ac:dyDescent="0.2">
      <c r="B33" s="208"/>
      <c r="C33" s="256"/>
      <c r="D33" s="173"/>
      <c r="E33" s="220" t="str">
        <f>IF(OR(ISBLANK(D33),ISBLANK(C33)),"",VLOOKUP(C33,liste!$C$17:$D$48,2,0))</f>
        <v/>
      </c>
      <c r="F33" s="192" t="str">
        <f t="shared" si="1"/>
        <v/>
      </c>
      <c r="G33" s="172"/>
      <c r="H33" s="172"/>
    </row>
    <row r="34" spans="2:8" x14ac:dyDescent="0.2">
      <c r="B34" s="213"/>
      <c r="C34" s="256"/>
      <c r="D34" s="173"/>
      <c r="E34" s="220" t="str">
        <f>IF(OR(ISBLANK(D34),ISBLANK(C34)),"",VLOOKUP(C34,liste!$C$17:$D$48,2,0))</f>
        <v/>
      </c>
      <c r="F34" s="192" t="str">
        <f t="shared" si="1"/>
        <v/>
      </c>
      <c r="G34" s="172"/>
      <c r="H34" s="172"/>
    </row>
    <row r="35" spans="2:8" x14ac:dyDescent="0.2">
      <c r="B35" s="228" t="s">
        <v>202</v>
      </c>
      <c r="C35" s="229"/>
      <c r="D35" s="219"/>
      <c r="E35" s="220"/>
      <c r="F35" s="192"/>
      <c r="G35" s="221"/>
      <c r="H35" s="222"/>
    </row>
    <row r="36" spans="2:8" x14ac:dyDescent="0.2">
      <c r="B36" s="133" t="s">
        <v>214</v>
      </c>
      <c r="C36" s="132"/>
      <c r="D36" s="173"/>
      <c r="E36" s="279"/>
      <c r="F36" s="192">
        <f>D36*E36</f>
        <v>0</v>
      </c>
      <c r="G36" s="172"/>
      <c r="H36" s="277"/>
    </row>
    <row r="37" spans="2:8" x14ac:dyDescent="0.2">
      <c r="B37" s="133" t="s">
        <v>213</v>
      </c>
      <c r="C37" s="132"/>
      <c r="D37" s="280"/>
      <c r="E37" s="226">
        <v>0</v>
      </c>
      <c r="F37" s="227">
        <f>D37*E37</f>
        <v>0</v>
      </c>
      <c r="G37" s="266"/>
      <c r="H37" s="278"/>
    </row>
    <row r="38" spans="2:8" x14ac:dyDescent="0.2">
      <c r="B38" s="157" t="s">
        <v>233</v>
      </c>
      <c r="C38" s="267"/>
      <c r="D38" s="268">
        <f>SUM(D8:D37)</f>
        <v>0</v>
      </c>
      <c r="E38" s="269"/>
      <c r="F38" s="268">
        <f>SUM(F8:F37)</f>
        <v>0</v>
      </c>
      <c r="G38" s="270"/>
    </row>
    <row r="39" spans="2:8" ht="16.7" customHeight="1" x14ac:dyDescent="0.2"/>
    <row r="40" spans="2:8" x14ac:dyDescent="0.2">
      <c r="D40" s="119" t="s">
        <v>136</v>
      </c>
      <c r="E40" s="119" t="s">
        <v>137</v>
      </c>
      <c r="F40" s="119" t="s">
        <v>138</v>
      </c>
    </row>
    <row r="41" spans="2:8" ht="14.45" customHeight="1" x14ac:dyDescent="0.2">
      <c r="B41" s="242" t="s">
        <v>237</v>
      </c>
      <c r="C41" s="243"/>
      <c r="D41" s="189">
        <f>SUMIF(G8:G36,"Retentionsanlage",D8:D36)</f>
        <v>0</v>
      </c>
      <c r="E41" s="190">
        <f>liste!C58</f>
        <v>0</v>
      </c>
      <c r="F41" s="189">
        <f>D41*E41</f>
        <v>0</v>
      </c>
    </row>
    <row r="42" spans="2:8" ht="15.75" customHeight="1" x14ac:dyDescent="0.2">
      <c r="B42" s="191" t="s">
        <v>238</v>
      </c>
      <c r="C42" s="244"/>
      <c r="D42" s="192">
        <f>SUMIF(G8:G36,"Versickerungsanlage",D8:D36)+D37</f>
        <v>0</v>
      </c>
      <c r="E42" s="193">
        <v>0</v>
      </c>
      <c r="F42" s="192">
        <f>D42*E42</f>
        <v>0</v>
      </c>
    </row>
    <row r="43" spans="2:8" x14ac:dyDescent="0.2">
      <c r="B43" s="194" t="s">
        <v>239</v>
      </c>
      <c r="C43" s="245"/>
      <c r="D43" s="195">
        <f>SUMIF(G9:G36,"",D9:D36)</f>
        <v>0</v>
      </c>
      <c r="E43" s="196">
        <f>IF(D43=0,0,F43/D43)</f>
        <v>0</v>
      </c>
      <c r="F43" s="197">
        <f>SUMIF(G9:G36,"",F9:F36)</f>
        <v>0</v>
      </c>
      <c r="G43" s="271"/>
    </row>
    <row r="44" spans="2:8" ht="14.25" x14ac:dyDescent="0.2">
      <c r="B44" s="157" t="s">
        <v>148</v>
      </c>
      <c r="C44" s="158"/>
      <c r="D44" s="155">
        <f>SUM(D41:D43)</f>
        <v>0</v>
      </c>
      <c r="E44" s="198" t="s">
        <v>152</v>
      </c>
      <c r="F44" s="155">
        <f>SUM(F41:F43)</f>
        <v>0</v>
      </c>
      <c r="G44" s="198" t="s">
        <v>174</v>
      </c>
    </row>
    <row r="45" spans="2:8" x14ac:dyDescent="0.2">
      <c r="B45" s="253" t="s">
        <v>173</v>
      </c>
      <c r="C45" s="131"/>
      <c r="D45" s="156"/>
      <c r="E45" s="130"/>
      <c r="F45" s="275" t="str">
        <f>IF(D44=0,"",F44/D44)</f>
        <v/>
      </c>
    </row>
    <row r="46" spans="2:8" x14ac:dyDescent="0.2">
      <c r="B46" s="252" t="s">
        <v>200</v>
      </c>
      <c r="C46" s="131"/>
      <c r="D46" s="156"/>
      <c r="E46" s="130"/>
      <c r="F46" s="187"/>
    </row>
    <row r="48" spans="2:8" x14ac:dyDescent="0.2">
      <c r="B48" s="13" t="s">
        <v>186</v>
      </c>
      <c r="E48" s="164"/>
    </row>
    <row r="49" spans="2:6" x14ac:dyDescent="0.2">
      <c r="C49" s="163" t="s">
        <v>187</v>
      </c>
      <c r="D49" s="184"/>
      <c r="E49" s="199" t="s">
        <v>151</v>
      </c>
      <c r="F49" s="152"/>
    </row>
    <row r="50" spans="2:6" x14ac:dyDescent="0.2">
      <c r="C50" s="163" t="s">
        <v>188</v>
      </c>
      <c r="D50" s="184"/>
      <c r="E50" s="199" t="s">
        <v>151</v>
      </c>
      <c r="F50" s="151"/>
    </row>
    <row r="51" spans="2:6" x14ac:dyDescent="0.2">
      <c r="C51" s="163" t="s">
        <v>203</v>
      </c>
      <c r="D51" s="185">
        <v>1</v>
      </c>
      <c r="F51" s="151"/>
    </row>
    <row r="52" spans="2:6" x14ac:dyDescent="0.2">
      <c r="F52" s="151"/>
    </row>
    <row r="58" spans="2:6" hidden="1" x14ac:dyDescent="0.2"/>
    <row r="59" spans="2:6" hidden="1" x14ac:dyDescent="0.2">
      <c r="B59" s="254" t="str">
        <f>IF(OR(ISBLANK(D49),ISBLANK(D50)),"",IF(OR(E64&gt;MIN(D49:D50)/3, E64=""),"Die Versickerungsanlage ist zu klein. Erhöhen Sie die Grösse der Versickerungsanlage.",""))</f>
        <v/>
      </c>
    </row>
    <row r="60" spans="2:6" x14ac:dyDescent="0.2">
      <c r="B60" s="179"/>
      <c r="C60" s="179"/>
      <c r="D60" s="180"/>
      <c r="E60" s="179"/>
    </row>
    <row r="61" spans="2:6" x14ac:dyDescent="0.2">
      <c r="B61" s="181"/>
      <c r="C61" s="181"/>
      <c r="D61" s="182"/>
      <c r="E61" s="183"/>
    </row>
    <row r="62" spans="2:6" ht="13.5" x14ac:dyDescent="0.2">
      <c r="B62" s="165" t="s">
        <v>181</v>
      </c>
      <c r="C62" s="166"/>
      <c r="D62" s="200"/>
      <c r="E62" s="170">
        <f>'Volumen Retention'!E67</f>
        <v>0</v>
      </c>
      <c r="F62" s="174" t="s">
        <v>184</v>
      </c>
    </row>
    <row r="63" spans="2:6" ht="13.5" x14ac:dyDescent="0.2">
      <c r="B63" s="167" t="s">
        <v>182</v>
      </c>
      <c r="C63" s="150"/>
      <c r="D63" s="201"/>
      <c r="E63" s="171">
        <f>'Volumen Versickerung'!E67</f>
        <v>0</v>
      </c>
      <c r="F63" s="175" t="s">
        <v>184</v>
      </c>
    </row>
    <row r="64" spans="2:6" x14ac:dyDescent="0.2">
      <c r="B64" s="168" t="s">
        <v>185</v>
      </c>
      <c r="C64" s="169"/>
      <c r="D64" s="202"/>
      <c r="E64" s="178" t="str">
        <f>IF((D49^2*D50^2-4*D51*D49*E63)&lt;0,"",IF(ISBLANK(D49),"",(D49*D50-SQRT(D49^2*D50^2-4*D51*D49*E63))/(2*D51*D49)))</f>
        <v/>
      </c>
      <c r="F64" s="176" t="s">
        <v>151</v>
      </c>
    </row>
    <row r="65" spans="2:8" x14ac:dyDescent="0.2">
      <c r="B65" s="254" t="str">
        <f>IF(AND(ISNUMBER(E64)=FALSE,E63&gt;0), "Die Breite oder Länge der Anlage ist zu klein.",IF('B1'!B27&gt;1,"Berechnung ausserhalb des Gültigkeitsbereichs. Bitte erhöhen Sie die Versickerungsfläche",""))</f>
        <v/>
      </c>
    </row>
    <row r="67" spans="2:8" x14ac:dyDescent="0.2">
      <c r="B67" s="230"/>
      <c r="C67" s="231" t="s">
        <v>210</v>
      </c>
    </row>
    <row r="71" spans="2:8" x14ac:dyDescent="0.2">
      <c r="E71" s="7" t="s">
        <v>236</v>
      </c>
      <c r="G71" s="281"/>
      <c r="H71" s="281"/>
    </row>
  </sheetData>
  <sheetProtection algorithmName="SHA-512" hashValue="kxYB7JutoDXKgXhu7niSpwiw2a2JYInSt/Ggd6HPrq93Iv/u3kHAO8Wjf47q5AzvlcSL3/mRh+889zlAKvTAhg==" saltValue="cEtv8oPX7c7oT3CkaoGMMA==" spinCount="100000" sheet="1" objects="1" scenarios="1"/>
  <mergeCells count="7">
    <mergeCell ref="B15:C15"/>
    <mergeCell ref="B19:C19"/>
    <mergeCell ref="C1:H1"/>
    <mergeCell ref="D3:E3"/>
    <mergeCell ref="F3:G3"/>
    <mergeCell ref="B5:C6"/>
    <mergeCell ref="B8:C8"/>
  </mergeCells>
  <dataValidations count="7">
    <dataValidation allowBlank="1" showInputMessage="1" showErrorMessage="1" prompt="Fläche welche an einer existierenden Anlage angeschlossen. Der Abflussbeiwert einer bestehenden Retentionsanlage ist ebenfalls einzutragen." sqref="D36:D38" xr:uid="{00000000-0002-0000-0100-000000000000}"/>
    <dataValidation type="decimal" errorStyle="warning" showInputMessage="1" showErrorMessage="1" error="Erhöhen Sie die Grösse der Versickerunganlage. Die Fläche ist zu klein." sqref="E64" xr:uid="{00000000-0002-0000-0100-000001000000}">
      <formula1>0</formula1>
      <formula2>MIN(D49:D50)/3</formula2>
    </dataValidation>
    <dataValidation type="list" allowBlank="1" showInputMessage="1" showErrorMessage="1" prompt="Wählen Sie bitte die Aufbaudicke des begrünten Dachs" sqref="C16:C18" xr:uid="{00000000-0002-0000-0100-000002000000}">
      <formula1>Typ_Begrünt</formula1>
    </dataValidation>
    <dataValidation type="list" allowBlank="1" showInputMessage="1" showErrorMessage="1" prompt="Wählen Sie bitte den Belagstyp" sqref="C20:C26" xr:uid="{00000000-0002-0000-0100-000003000000}">
      <formula1>Typ_Platz</formula1>
    </dataValidation>
    <dataValidation type="list" allowBlank="1" showInputMessage="1" showErrorMessage="1" sqref="G36 G9:G14 G16:G18 G20:G26 G30:G34" xr:uid="{00000000-0002-0000-0100-000004000000}">
      <formula1>Typ_Anschluss</formula1>
    </dataValidation>
    <dataValidation type="list" allowBlank="1" showInputMessage="1" showErrorMessage="1" prompt="Wählen Sie bitte die Art der Durchlässigen Fläche" sqref="C30:C34" xr:uid="{00000000-0002-0000-0100-000005000000}">
      <formula1>Typ_Durchlässig</formula1>
    </dataValidation>
    <dataValidation type="list" allowBlank="1" showInputMessage="1" showErrorMessage="1" sqref="C9:C14" xr:uid="{00000000-0002-0000-0100-000006000000}">
      <formula1>Typ_Dach</formula1>
    </dataValidation>
  </dataValidations>
  <pageMargins left="0.7" right="0.7" top="0.75" bottom="0.75" header="0.3" footer="0.3"/>
  <pageSetup paperSize="9" scale="83" orientation="portrait" r:id="rId1"/>
  <ignoredErrors>
    <ignoredError sqref="D4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8000000}">
          <x14:formula1>
            <xm:f>liste!$B$11:$B$13</xm:f>
          </x14:formula1>
          <xm:sqref>G27:G28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5">
    <pageSetUpPr fitToPage="1"/>
  </sheetPr>
  <dimension ref="A1:N127"/>
  <sheetViews>
    <sheetView showGridLines="0" view="pageLayout" topLeftCell="A37" zoomScale="130" zoomScaleNormal="100" zoomScaleSheetLayoutView="100" zoomScalePageLayoutView="130" workbookViewId="0">
      <selection activeCell="E46" sqref="E46:F46"/>
    </sheetView>
  </sheetViews>
  <sheetFormatPr baseColWidth="10" defaultColWidth="10.85546875" defaultRowHeight="13.5" x14ac:dyDescent="0.2"/>
  <cols>
    <col min="1" max="1" width="3.140625" style="19" customWidth="1"/>
    <col min="2" max="2" width="31.28515625" style="20" customWidth="1"/>
    <col min="3" max="3" width="6.7109375" style="20" customWidth="1"/>
    <col min="4" max="5" width="6.7109375" style="19" customWidth="1"/>
    <col min="6" max="6" width="9.42578125" style="19" customWidth="1"/>
    <col min="7" max="7" width="6.5703125" style="19" customWidth="1"/>
    <col min="8" max="8" width="7.42578125" style="19" customWidth="1"/>
    <col min="9" max="9" width="3.28515625" style="19" customWidth="1"/>
    <col min="10" max="10" width="10.85546875" style="19"/>
    <col min="11" max="11" width="10.140625" style="19" customWidth="1"/>
    <col min="12" max="12" width="11.28515625" style="19" customWidth="1"/>
    <col min="13" max="13" width="13" style="19" customWidth="1"/>
    <col min="14" max="14" width="6.140625" style="19" customWidth="1"/>
    <col min="15" max="19" width="10.85546875" style="19"/>
    <col min="20" max="20" width="4.28515625" style="19" customWidth="1"/>
    <col min="21" max="16384" width="10.85546875" style="19"/>
  </cols>
  <sheetData>
    <row r="1" spans="1:14" ht="15.75" customHeight="1" x14ac:dyDescent="0.2">
      <c r="A1" s="26" t="s">
        <v>131</v>
      </c>
      <c r="B1" s="27"/>
      <c r="C1" s="28"/>
      <c r="D1" s="28"/>
      <c r="E1" s="29"/>
      <c r="F1" s="27"/>
      <c r="G1" s="30"/>
      <c r="H1" s="30"/>
      <c r="I1" s="30"/>
      <c r="J1" s="30"/>
      <c r="K1" s="30"/>
      <c r="L1" s="30"/>
      <c r="M1" s="30"/>
      <c r="N1" s="30"/>
    </row>
    <row r="2" spans="1:14" ht="12" customHeight="1" x14ac:dyDescent="0.2">
      <c r="A2" s="27"/>
      <c r="B2" s="26"/>
      <c r="C2" s="28"/>
      <c r="D2" s="28"/>
      <c r="E2" s="29"/>
      <c r="F2" s="27"/>
      <c r="G2" s="30"/>
      <c r="H2" s="30"/>
      <c r="I2" s="30"/>
      <c r="J2" s="30"/>
      <c r="K2" s="30"/>
      <c r="L2" s="30"/>
      <c r="M2" s="30"/>
      <c r="N2" s="30"/>
    </row>
    <row r="3" spans="1:14" ht="12.75" customHeight="1" x14ac:dyDescent="0.2">
      <c r="A3" s="31" t="s">
        <v>17</v>
      </c>
      <c r="B3" s="32" t="s">
        <v>42</v>
      </c>
      <c r="C3" s="28"/>
      <c r="D3" s="28"/>
      <c r="E3" s="29"/>
      <c r="F3" s="27"/>
      <c r="G3" s="30"/>
      <c r="H3" s="30"/>
      <c r="I3" s="30"/>
      <c r="J3" s="30"/>
      <c r="K3" s="30"/>
      <c r="L3" s="30"/>
      <c r="M3" s="30"/>
      <c r="N3" s="30"/>
    </row>
    <row r="4" spans="1:14" ht="5.25" customHeight="1" x14ac:dyDescent="0.2">
      <c r="A4" s="31"/>
      <c r="B4" s="32"/>
      <c r="C4" s="28"/>
      <c r="D4" s="28"/>
      <c r="E4" s="29"/>
      <c r="F4" s="27"/>
      <c r="G4" s="30"/>
      <c r="H4" s="30"/>
      <c r="I4" s="30"/>
      <c r="J4" s="30"/>
      <c r="K4" s="30"/>
      <c r="L4" s="30"/>
      <c r="M4" s="30"/>
      <c r="N4" s="30"/>
    </row>
    <row r="5" spans="1:14" ht="26.85" customHeight="1" x14ac:dyDescent="0.2">
      <c r="A5" s="27"/>
      <c r="B5" s="300" t="s">
        <v>43</v>
      </c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"/>
    </row>
    <row r="6" spans="1:14" ht="5.25" customHeight="1" x14ac:dyDescent="0.2">
      <c r="A6" s="27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0"/>
    </row>
    <row r="7" spans="1:14" ht="26.85" customHeight="1" x14ac:dyDescent="0.2">
      <c r="A7" s="27"/>
      <c r="B7" s="300" t="s">
        <v>116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"/>
    </row>
    <row r="8" spans="1:14" ht="5.25" customHeight="1" x14ac:dyDescent="0.2">
      <c r="A8" s="27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0"/>
    </row>
    <row r="9" spans="1:14" ht="12.75" customHeight="1" x14ac:dyDescent="0.2">
      <c r="A9" s="27"/>
      <c r="B9" s="300" t="s">
        <v>44</v>
      </c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"/>
    </row>
    <row r="10" spans="1:14" ht="12.75" customHeight="1" x14ac:dyDescent="0.2">
      <c r="A10" s="27"/>
      <c r="B10" s="33"/>
      <c r="C10" s="33"/>
      <c r="D10" s="33"/>
      <c r="E10" s="33"/>
      <c r="F10" s="33"/>
      <c r="G10" s="30"/>
      <c r="H10" s="30"/>
      <c r="I10" s="30"/>
      <c r="J10" s="30"/>
      <c r="K10" s="30"/>
      <c r="L10" s="30"/>
      <c r="M10" s="30"/>
      <c r="N10" s="30"/>
    </row>
    <row r="11" spans="1:14" ht="12.75" customHeight="1" x14ac:dyDescent="0.2">
      <c r="A11" s="32" t="s">
        <v>18</v>
      </c>
      <c r="B11" s="32" t="s">
        <v>49</v>
      </c>
      <c r="C11" s="28"/>
      <c r="D11" s="28"/>
      <c r="E11" s="29"/>
      <c r="F11" s="27"/>
      <c r="G11" s="30"/>
      <c r="H11" s="30"/>
      <c r="I11" s="34" t="s">
        <v>45</v>
      </c>
      <c r="J11" s="27"/>
      <c r="K11" s="30"/>
      <c r="L11" s="30"/>
      <c r="M11" s="30"/>
      <c r="N11" s="30"/>
    </row>
    <row r="12" spans="1:14" ht="5.25" customHeight="1" x14ac:dyDescent="0.2">
      <c r="A12" s="32"/>
      <c r="B12" s="32"/>
      <c r="C12" s="28"/>
      <c r="D12" s="28"/>
      <c r="E12" s="29"/>
      <c r="F12" s="27"/>
      <c r="G12" s="30"/>
      <c r="H12" s="30"/>
      <c r="I12" s="34"/>
      <c r="J12" s="27"/>
      <c r="K12" s="30"/>
      <c r="L12" s="30"/>
      <c r="M12" s="30"/>
      <c r="N12" s="30"/>
    </row>
    <row r="13" spans="1:14" ht="12.75" customHeight="1" x14ac:dyDescent="0.2">
      <c r="A13" s="27" t="s">
        <v>19</v>
      </c>
      <c r="B13" t="s">
        <v>46</v>
      </c>
      <c r="C13" s="28"/>
      <c r="D13" s="28"/>
      <c r="E13" s="29"/>
      <c r="F13" s="27"/>
      <c r="G13" s="30"/>
      <c r="H13" s="30"/>
      <c r="I13" s="35" t="s">
        <v>22</v>
      </c>
      <c r="J13" s="36" t="s">
        <v>111</v>
      </c>
      <c r="K13" s="30"/>
      <c r="L13" s="30"/>
      <c r="M13" s="30"/>
      <c r="N13" s="30"/>
    </row>
    <row r="14" spans="1:14" ht="12.75" customHeight="1" x14ac:dyDescent="0.2">
      <c r="A14" s="27" t="s">
        <v>20</v>
      </c>
      <c r="B14" t="s">
        <v>47</v>
      </c>
      <c r="C14" s="28"/>
      <c r="D14" s="28"/>
      <c r="E14" s="29"/>
      <c r="F14" s="27"/>
      <c r="G14" s="30"/>
      <c r="H14" s="30"/>
      <c r="I14" s="35" t="s">
        <v>23</v>
      </c>
      <c r="J14" s="37" t="s">
        <v>112</v>
      </c>
      <c r="K14" s="30"/>
      <c r="L14" s="30"/>
      <c r="M14" s="30"/>
      <c r="N14" s="30"/>
    </row>
    <row r="15" spans="1:14" ht="12.75" customHeight="1" x14ac:dyDescent="0.2">
      <c r="A15" s="27" t="s">
        <v>21</v>
      </c>
      <c r="B15" s="109" t="s">
        <v>48</v>
      </c>
      <c r="C15" s="28"/>
      <c r="D15" s="28"/>
      <c r="E15" s="29"/>
      <c r="F15" s="27"/>
      <c r="G15" s="30"/>
      <c r="H15" s="30"/>
      <c r="I15" s="35" t="s">
        <v>24</v>
      </c>
      <c r="J15" s="37" t="s">
        <v>113</v>
      </c>
      <c r="K15" s="30"/>
      <c r="L15" s="30"/>
      <c r="M15" s="30"/>
      <c r="N15" s="30"/>
    </row>
    <row r="16" spans="1:14" ht="12.75" customHeight="1" x14ac:dyDescent="0.2">
      <c r="A16" s="27"/>
      <c r="B16" s="27"/>
      <c r="C16" s="28"/>
      <c r="D16" s="28"/>
      <c r="E16" s="29"/>
      <c r="F16" s="27"/>
      <c r="G16" s="30"/>
      <c r="H16" s="30"/>
      <c r="I16" s="27"/>
      <c r="J16" s="37"/>
      <c r="K16" s="30"/>
      <c r="L16" s="30"/>
      <c r="M16" s="30"/>
      <c r="N16" s="30"/>
    </row>
    <row r="17" spans="1:14" ht="15.75" customHeight="1" x14ac:dyDescent="0.2">
      <c r="A17" s="32" t="s">
        <v>25</v>
      </c>
      <c r="B17" s="32" t="s">
        <v>50</v>
      </c>
      <c r="C17" s="38"/>
      <c r="D17" s="30"/>
      <c r="E17" s="30"/>
      <c r="F17" s="30"/>
      <c r="G17" s="30"/>
      <c r="H17" s="30"/>
      <c r="I17" s="66" t="s">
        <v>54</v>
      </c>
      <c r="K17" s="30"/>
      <c r="L17" s="30"/>
      <c r="M17" s="30"/>
      <c r="N17" s="30"/>
    </row>
    <row r="18" spans="1:14" ht="5.25" customHeight="1" x14ac:dyDescent="0.2">
      <c r="A18" s="30"/>
      <c r="B18" s="38"/>
      <c r="C18" s="38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ht="14.1" customHeight="1" x14ac:dyDescent="0.2">
      <c r="A19" s="30"/>
      <c r="B19" s="67" t="s">
        <v>51</v>
      </c>
      <c r="C19" s="68"/>
      <c r="D19" s="69"/>
      <c r="E19" s="70"/>
      <c r="F19" s="69"/>
      <c r="G19" s="71"/>
      <c r="H19" s="30"/>
      <c r="I19" s="30"/>
      <c r="J19" s="30"/>
      <c r="K19" s="30"/>
      <c r="L19" s="30"/>
      <c r="M19" s="30"/>
      <c r="N19" s="30"/>
    </row>
    <row r="20" spans="1:14" ht="14.1" customHeight="1" x14ac:dyDescent="0.2">
      <c r="A20" s="40"/>
      <c r="B20" s="85" t="s">
        <v>52</v>
      </c>
      <c r="C20" s="324" t="s">
        <v>53</v>
      </c>
      <c r="D20" s="325"/>
      <c r="E20" s="320" t="s">
        <v>85</v>
      </c>
      <c r="F20" s="320"/>
      <c r="G20" s="320"/>
      <c r="H20" s="63"/>
      <c r="I20" s="63"/>
      <c r="J20" s="63"/>
      <c r="K20" s="63"/>
      <c r="L20" s="63"/>
      <c r="M20" s="63"/>
      <c r="N20" s="30"/>
    </row>
    <row r="21" spans="1:14" ht="14.1" customHeight="1" x14ac:dyDescent="0.2">
      <c r="A21" s="40"/>
      <c r="B21" s="87" t="s">
        <v>117</v>
      </c>
      <c r="C21" s="326"/>
      <c r="D21" s="327"/>
      <c r="E21" s="316" t="s">
        <v>101</v>
      </c>
      <c r="F21" s="317"/>
      <c r="G21" s="318"/>
      <c r="H21" s="63"/>
      <c r="I21" s="63"/>
      <c r="J21" s="63"/>
      <c r="K21" s="63"/>
      <c r="L21" s="63"/>
      <c r="M21" s="63"/>
      <c r="N21" s="30"/>
    </row>
    <row r="22" spans="1:14" ht="14.1" customHeight="1" x14ac:dyDescent="0.2">
      <c r="A22" s="40"/>
      <c r="B22" s="321" t="s">
        <v>118</v>
      </c>
      <c r="C22" s="322"/>
      <c r="D22" s="322"/>
      <c r="E22" s="322"/>
      <c r="F22" s="322"/>
      <c r="G22" s="323"/>
      <c r="H22" s="64"/>
      <c r="I22" s="64"/>
      <c r="J22" s="64"/>
      <c r="K22" s="64"/>
      <c r="L22" s="64"/>
      <c r="M22" s="64"/>
      <c r="N22" s="30"/>
    </row>
    <row r="23" spans="1:14" ht="14.1" customHeight="1" x14ac:dyDescent="0.2">
      <c r="A23" s="40"/>
      <c r="B23" s="85" t="s">
        <v>57</v>
      </c>
      <c r="C23" s="41"/>
      <c r="D23" s="40"/>
      <c r="E23" s="320" t="s">
        <v>88</v>
      </c>
      <c r="F23" s="320"/>
      <c r="G23" s="320"/>
      <c r="H23" s="64"/>
      <c r="I23" s="64"/>
      <c r="J23" s="64"/>
      <c r="K23" s="64"/>
      <c r="L23" s="64"/>
      <c r="M23" s="64"/>
      <c r="N23" s="30"/>
    </row>
    <row r="24" spans="1:14" ht="14.1" customHeight="1" x14ac:dyDescent="0.2">
      <c r="A24" s="40"/>
      <c r="B24" s="86" t="s">
        <v>58</v>
      </c>
      <c r="C24" s="55"/>
      <c r="D24" s="43"/>
      <c r="E24" s="320" t="s">
        <v>88</v>
      </c>
      <c r="F24" s="320"/>
      <c r="G24" s="320"/>
      <c r="H24" s="64"/>
      <c r="I24" s="64"/>
      <c r="J24" s="64"/>
      <c r="K24" s="64"/>
      <c r="L24" s="64"/>
      <c r="M24" s="64"/>
      <c r="N24" s="30"/>
    </row>
    <row r="25" spans="1:14" ht="14.1" customHeight="1" x14ac:dyDescent="0.2">
      <c r="A25" s="40"/>
      <c r="B25" s="67" t="s">
        <v>55</v>
      </c>
      <c r="C25" s="72"/>
      <c r="D25" s="73"/>
      <c r="E25" s="74"/>
      <c r="F25" s="74"/>
      <c r="G25" s="75"/>
      <c r="H25" s="63"/>
      <c r="I25" s="63"/>
      <c r="J25" s="63"/>
      <c r="K25" s="63"/>
      <c r="L25" s="63"/>
      <c r="M25" s="63"/>
      <c r="N25" s="30"/>
    </row>
    <row r="26" spans="1:14" ht="14.1" customHeight="1" x14ac:dyDescent="0.2">
      <c r="A26" s="40"/>
      <c r="B26" s="85" t="s">
        <v>57</v>
      </c>
      <c r="C26" s="41"/>
      <c r="D26" s="40"/>
      <c r="E26" s="320" t="s">
        <v>91</v>
      </c>
      <c r="F26" s="320"/>
      <c r="G26" s="320"/>
      <c r="H26" s="63"/>
      <c r="I26" s="63"/>
      <c r="J26" s="63"/>
      <c r="K26" s="63"/>
      <c r="L26" s="63"/>
      <c r="M26" s="63"/>
      <c r="N26" s="30"/>
    </row>
    <row r="27" spans="1:14" ht="14.1" customHeight="1" x14ac:dyDescent="0.2">
      <c r="A27" s="40"/>
      <c r="B27" s="86" t="s">
        <v>58</v>
      </c>
      <c r="C27" s="55"/>
      <c r="D27" s="43"/>
      <c r="E27" s="320" t="s">
        <v>91</v>
      </c>
      <c r="F27" s="320"/>
      <c r="G27" s="320"/>
      <c r="H27" s="63"/>
      <c r="I27" s="63"/>
      <c r="J27" s="63"/>
      <c r="K27" s="63"/>
      <c r="L27" s="63"/>
      <c r="M27" s="63"/>
      <c r="N27" s="30"/>
    </row>
    <row r="28" spans="1:14" ht="14.1" customHeight="1" x14ac:dyDescent="0.2">
      <c r="A28" s="40"/>
      <c r="B28" s="67" t="s">
        <v>119</v>
      </c>
      <c r="C28" s="72"/>
      <c r="D28" s="73"/>
      <c r="E28" s="74"/>
      <c r="F28" s="74"/>
      <c r="G28" s="75"/>
      <c r="H28" s="63"/>
      <c r="I28" s="63"/>
      <c r="J28" s="63"/>
      <c r="K28" s="63"/>
      <c r="L28" s="63"/>
      <c r="M28" s="63"/>
      <c r="N28" s="30"/>
    </row>
    <row r="29" spans="1:14" ht="14.1" customHeight="1" x14ac:dyDescent="0.2">
      <c r="A29" s="40"/>
      <c r="B29" s="85" t="s">
        <v>57</v>
      </c>
      <c r="C29" s="41"/>
      <c r="D29" s="40"/>
      <c r="E29" s="316" t="s">
        <v>120</v>
      </c>
      <c r="F29" s="317"/>
      <c r="G29" s="318"/>
      <c r="H29" s="64"/>
      <c r="I29" s="64"/>
      <c r="J29" s="64"/>
      <c r="K29" s="64"/>
      <c r="L29" s="64"/>
      <c r="M29" s="64"/>
      <c r="N29" s="30"/>
    </row>
    <row r="30" spans="1:14" ht="14.1" customHeight="1" x14ac:dyDescent="0.2">
      <c r="A30" s="40"/>
      <c r="B30" s="86" t="s">
        <v>58</v>
      </c>
      <c r="C30" s="55"/>
      <c r="D30" s="43"/>
      <c r="E30" s="320" t="s">
        <v>120</v>
      </c>
      <c r="F30" s="320"/>
      <c r="G30" s="320"/>
      <c r="H30" s="64"/>
      <c r="I30" s="64"/>
      <c r="J30" s="64"/>
      <c r="K30" s="64"/>
      <c r="L30" s="64"/>
      <c r="M30" s="64"/>
      <c r="N30" s="30"/>
    </row>
    <row r="31" spans="1:14" ht="14.1" customHeight="1" x14ac:dyDescent="0.2">
      <c r="A31" s="40"/>
      <c r="B31" s="39"/>
      <c r="C31" s="41"/>
      <c r="D31" s="40"/>
      <c r="E31" s="64"/>
      <c r="F31" s="64"/>
      <c r="G31" s="64"/>
      <c r="H31" s="64"/>
      <c r="I31" s="64"/>
      <c r="J31" s="64"/>
      <c r="K31" s="64"/>
      <c r="L31" s="64"/>
      <c r="M31" s="64"/>
      <c r="N31" s="30"/>
    </row>
    <row r="32" spans="1:14" ht="14.1" customHeight="1" x14ac:dyDescent="0.2">
      <c r="A32" s="40"/>
      <c r="B32" s="67" t="s">
        <v>56</v>
      </c>
      <c r="C32" s="72"/>
      <c r="D32" s="73"/>
      <c r="E32" s="76"/>
      <c r="F32" s="76"/>
      <c r="G32" s="76"/>
      <c r="H32" s="76"/>
      <c r="I32" s="76"/>
      <c r="J32" s="77"/>
      <c r="K32" s="307" t="s">
        <v>59</v>
      </c>
      <c r="L32" s="308"/>
      <c r="M32" s="308"/>
      <c r="N32" s="309"/>
    </row>
    <row r="33" spans="1:14" ht="14.1" customHeight="1" x14ac:dyDescent="0.2">
      <c r="A33" s="40"/>
      <c r="B33" s="85" t="s">
        <v>57</v>
      </c>
      <c r="C33" s="41"/>
      <c r="D33" s="40"/>
      <c r="E33" s="330" t="str">
        <f>IF($E$21=$B$110, $B$106,IF(OR($E$20=$B$83, $E$20=$B$84),$B$106,IF($E26=$B$98, $B$106,IF($E29=$B$101, $B$106,IF(AND(OR($E$20=$B$85,$E$20=$B$86, $E$20=$B$87,$E$20=$B$88), $E26=$B$96),$B$103, IF(AND(OR($E$20=$B$85,$E$20=$B$86, $E$20=$B$87,$E$20=$B$88), $E26=$B$97), $B$104,$B$103))))))</f>
        <v>Zulässig*</v>
      </c>
      <c r="F33" s="330"/>
      <c r="G33" s="330"/>
      <c r="H33" s="330"/>
      <c r="I33" s="330"/>
      <c r="J33" s="330"/>
      <c r="K33" s="310"/>
      <c r="L33" s="311"/>
      <c r="M33" s="311"/>
      <c r="N33" s="312"/>
    </row>
    <row r="34" spans="1:14" ht="14.1" customHeight="1" x14ac:dyDescent="0.2">
      <c r="A34" s="40"/>
      <c r="B34" s="86" t="s">
        <v>58</v>
      </c>
      <c r="C34" s="55"/>
      <c r="D34" s="43"/>
      <c r="E34" s="330" t="str">
        <f>IF(OR($E$20=$B$83,$E$20=$B$84,$E$20=$B$85,$E$21=$B$110),$B$106,IF($E27=$B$98,$B$106,IF($E30=$B$101,$B$106,IF(OR($E$24=$B$92,$E$24=$B$93,$E$24=$B$94),$B$106,IF(AND(OR($E$20=$B$85,$E$20=$B$86,$E$20=$B$87,$E$20=$B$88),$E27=$B$96),$B$103,IF(AND(OR($E$20=$B$85,$E$20=$B$86,$E$20=$B$87,$E$20=$B$88),$E27=$B$97),$B$104,$B$103))))))</f>
        <v>Zulässig*</v>
      </c>
      <c r="F34" s="330"/>
      <c r="G34" s="330"/>
      <c r="H34" s="330"/>
      <c r="I34" s="330"/>
      <c r="J34" s="330"/>
      <c r="K34" s="313"/>
      <c r="L34" s="314"/>
      <c r="M34" s="314"/>
      <c r="N34" s="315"/>
    </row>
    <row r="35" spans="1:14" ht="9" customHeight="1" x14ac:dyDescent="0.2">
      <c r="A35" s="40"/>
      <c r="B35" s="84"/>
      <c r="C35" s="41"/>
      <c r="D35" s="40"/>
      <c r="E35" s="81"/>
      <c r="F35" s="59"/>
      <c r="G35" s="59"/>
      <c r="H35" s="59"/>
      <c r="I35" s="59"/>
      <c r="J35" s="59"/>
      <c r="K35" s="78"/>
      <c r="L35" s="78"/>
      <c r="M35" s="78"/>
      <c r="N35" s="78"/>
    </row>
    <row r="36" spans="1:14" s="83" customFormat="1" ht="13.7" customHeight="1" x14ac:dyDescent="0.25">
      <c r="A36" s="79"/>
      <c r="B36" s="80"/>
      <c r="C36" s="80"/>
      <c r="D36" s="79"/>
      <c r="E36" s="81" t="str">
        <f>IF(OR(E33=B103,E33=B104), B108,"")</f>
        <v>* Unter vorbehalt eines Entscheids der Raumplanungs, Umwelt und Baudirektion (RUBD)</v>
      </c>
      <c r="F36" s="81"/>
      <c r="G36" s="81"/>
      <c r="H36" s="81"/>
      <c r="I36" s="81"/>
      <c r="J36" s="81"/>
      <c r="K36" s="81"/>
      <c r="L36" s="81"/>
      <c r="M36" s="79"/>
      <c r="N36" s="82"/>
    </row>
    <row r="37" spans="1:14" ht="15.75" customHeight="1" x14ac:dyDescent="0.2">
      <c r="A37" s="45" t="s">
        <v>36</v>
      </c>
      <c r="B37" s="111" t="s">
        <v>114</v>
      </c>
      <c r="F37" s="112"/>
      <c r="G37" s="112"/>
      <c r="H37" s="336" t="s">
        <v>132</v>
      </c>
      <c r="I37" s="337"/>
      <c r="J37" s="338" t="s">
        <v>169</v>
      </c>
      <c r="K37" s="339"/>
      <c r="L37" s="113"/>
      <c r="M37" s="30"/>
      <c r="N37" s="30"/>
    </row>
    <row r="38" spans="1:14" ht="6" customHeight="1" x14ac:dyDescent="0.2">
      <c r="A38" s="30"/>
      <c r="B38" s="38"/>
      <c r="C38" s="38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4" ht="16.5" customHeight="1" x14ac:dyDescent="0.2">
      <c r="A39" s="304" t="s">
        <v>128</v>
      </c>
      <c r="B39" s="305"/>
      <c r="C39" s="305"/>
      <c r="D39" s="305"/>
      <c r="E39" s="305"/>
      <c r="F39" s="306"/>
      <c r="G39" s="46"/>
    </row>
    <row r="40" spans="1:14" ht="16.5" customHeight="1" x14ac:dyDescent="0.2">
      <c r="A40" s="88" t="s">
        <v>27</v>
      </c>
      <c r="B40" s="319" t="s">
        <v>60</v>
      </c>
      <c r="C40" s="319"/>
      <c r="D40" s="99" t="s">
        <v>133</v>
      </c>
      <c r="E40" s="140">
        <f>'Abflussbeiwert Parzelle'!D42/10000</f>
        <v>0</v>
      </c>
      <c r="F40" s="100" t="s">
        <v>0</v>
      </c>
      <c r="G40" s="40"/>
      <c r="H40" s="25"/>
      <c r="I40" s="47" t="s">
        <v>37</v>
      </c>
      <c r="J40" s="40" t="s">
        <v>63</v>
      </c>
      <c r="K40" s="30"/>
      <c r="L40" s="30"/>
      <c r="M40" s="30"/>
      <c r="N40" s="30"/>
    </row>
    <row r="41" spans="1:14" ht="16.5" customHeight="1" x14ac:dyDescent="0.2">
      <c r="A41" s="89" t="s">
        <v>27</v>
      </c>
      <c r="B41" s="319" t="s">
        <v>61</v>
      </c>
      <c r="C41" s="319"/>
      <c r="D41" s="99" t="s">
        <v>134</v>
      </c>
      <c r="E41" s="140">
        <f>SUMIF('Abflussbeiwert Parzelle'!G8:G36,"Versickerungsanlage",'Abflussbeiwert Parzelle'!F8:F36)/10000</f>
        <v>0</v>
      </c>
      <c r="F41" s="100" t="s">
        <v>0</v>
      </c>
      <c r="G41" s="40"/>
      <c r="H41" s="30"/>
      <c r="I41" s="30"/>
      <c r="J41" s="30"/>
      <c r="K41" s="30"/>
      <c r="L41" s="30"/>
      <c r="M41" s="30"/>
      <c r="N41" s="30"/>
    </row>
    <row r="42" spans="1:14" ht="16.5" customHeight="1" x14ac:dyDescent="0.25">
      <c r="A42" s="90" t="s">
        <v>27</v>
      </c>
      <c r="B42" s="328" t="s">
        <v>62</v>
      </c>
      <c r="C42" s="328"/>
      <c r="D42" s="101" t="s">
        <v>12</v>
      </c>
      <c r="E42" s="145">
        <f>IF(E41=0,0,E41/E40)</f>
        <v>0</v>
      </c>
      <c r="F42" s="102" t="s">
        <v>1</v>
      </c>
      <c r="G42" s="40"/>
      <c r="H42" s="48" t="s">
        <v>64</v>
      </c>
      <c r="I42" s="49"/>
      <c r="J42" s="49"/>
      <c r="K42" s="50" t="s">
        <v>65</v>
      </c>
      <c r="L42" s="30"/>
      <c r="M42" s="30"/>
      <c r="N42" s="30"/>
    </row>
    <row r="43" spans="1:14" ht="7.5" customHeight="1" x14ac:dyDescent="0.2">
      <c r="A43" s="40"/>
      <c r="B43" s="41"/>
      <c r="C43" s="41"/>
      <c r="D43" s="40"/>
      <c r="E43" s="40"/>
      <c r="F43" s="40"/>
      <c r="G43" s="40"/>
      <c r="H43" s="30"/>
      <c r="I43" s="30"/>
      <c r="J43" s="30"/>
      <c r="K43" s="30"/>
      <c r="L43" s="30"/>
      <c r="M43" s="30"/>
      <c r="N43" s="30"/>
    </row>
    <row r="44" spans="1:14" ht="16.5" customHeight="1" x14ac:dyDescent="0.2">
      <c r="A44" s="304" t="s">
        <v>68</v>
      </c>
      <c r="B44" s="305"/>
      <c r="C44" s="305"/>
      <c r="D44" s="305"/>
      <c r="E44" s="305"/>
      <c r="F44" s="306"/>
      <c r="G44" s="46"/>
      <c r="H44" s="30"/>
      <c r="I44" s="30"/>
      <c r="J44" s="30"/>
      <c r="K44" s="30"/>
      <c r="L44" s="30"/>
      <c r="M44" s="30"/>
      <c r="N44" s="30"/>
    </row>
    <row r="45" spans="1:14" ht="16.5" customHeight="1" x14ac:dyDescent="0.2">
      <c r="A45" s="89" t="s">
        <v>28</v>
      </c>
      <c r="B45" s="91" t="s">
        <v>66</v>
      </c>
      <c r="C45" s="91"/>
      <c r="D45" s="48"/>
      <c r="E45" s="303" t="s">
        <v>106</v>
      </c>
      <c r="F45" s="303"/>
      <c r="G45" s="42"/>
      <c r="H45" s="52"/>
      <c r="I45" s="30"/>
      <c r="J45" s="30"/>
      <c r="K45" s="30"/>
      <c r="L45" s="30"/>
      <c r="M45" s="30"/>
      <c r="N45" s="30"/>
    </row>
    <row r="46" spans="1:14" ht="16.5" customHeight="1" x14ac:dyDescent="0.2">
      <c r="A46" s="90" t="s">
        <v>29</v>
      </c>
      <c r="B46" s="340" t="s">
        <v>67</v>
      </c>
      <c r="C46" s="340"/>
      <c r="D46" s="103"/>
      <c r="E46" s="301" t="s">
        <v>171</v>
      </c>
      <c r="F46" s="302"/>
      <c r="G46" s="42"/>
      <c r="H46" s="52"/>
      <c r="I46" s="30"/>
      <c r="J46" s="30"/>
      <c r="K46" s="30"/>
      <c r="L46" s="30"/>
      <c r="M46" s="30"/>
      <c r="N46" s="30"/>
    </row>
    <row r="47" spans="1:14" ht="7.5" customHeight="1" x14ac:dyDescent="0.2">
      <c r="A47" s="40"/>
      <c r="B47" s="41"/>
      <c r="C47" s="41"/>
      <c r="D47" s="40"/>
      <c r="E47" s="42"/>
      <c r="F47" s="42"/>
      <c r="G47" s="42"/>
      <c r="H47" s="52"/>
      <c r="I47" s="30"/>
      <c r="J47" s="30"/>
      <c r="K47" s="30"/>
      <c r="L47" s="30"/>
      <c r="M47" s="30"/>
      <c r="N47" s="30"/>
    </row>
    <row r="48" spans="1:14" ht="16.5" customHeight="1" x14ac:dyDescent="0.2">
      <c r="A48" s="333" t="s">
        <v>69</v>
      </c>
      <c r="B48" s="334"/>
      <c r="C48" s="305"/>
      <c r="D48" s="305"/>
      <c r="E48" s="305"/>
      <c r="F48" s="306"/>
      <c r="G48" s="46"/>
      <c r="H48" s="54"/>
      <c r="I48" s="30"/>
      <c r="J48" s="30"/>
      <c r="K48" s="30"/>
      <c r="L48" s="30"/>
      <c r="M48" s="30"/>
      <c r="N48" s="30"/>
    </row>
    <row r="49" spans="1:14" ht="16.5" customHeight="1" x14ac:dyDescent="0.2">
      <c r="A49" s="89" t="s">
        <v>30</v>
      </c>
      <c r="B49" s="48" t="s">
        <v>70</v>
      </c>
      <c r="C49" s="341" t="s">
        <v>102</v>
      </c>
      <c r="D49" s="342"/>
      <c r="E49" s="342"/>
      <c r="F49" s="343"/>
      <c r="G49" s="42"/>
      <c r="H49" s="30"/>
      <c r="I49" s="30"/>
      <c r="J49" s="30"/>
      <c r="K49" s="30"/>
      <c r="L49" s="30"/>
      <c r="M49" s="30"/>
      <c r="N49" s="30"/>
    </row>
    <row r="50" spans="1:14" ht="16.5" customHeight="1" x14ac:dyDescent="0.2">
      <c r="A50" s="89" t="s">
        <v>31</v>
      </c>
      <c r="B50" s="48" t="s">
        <v>71</v>
      </c>
      <c r="C50" s="141">
        <f>liste!D51/60*'Abflussbeiwert Parzelle'!D49*'Abflussbeiwert Parzelle'!D50</f>
        <v>0</v>
      </c>
      <c r="D50" s="142" t="str">
        <f>IF(C49=liste!B2,liste!D2,IF(C49=liste!B3,liste!D3,IF(C49=liste!B4,liste!D4,IF(C49=liste!B5,liste!D5))))</f>
        <v>[l/s]</v>
      </c>
      <c r="E50" s="142"/>
      <c r="F50" s="143"/>
      <c r="G50" s="40"/>
      <c r="H50" s="30"/>
      <c r="I50" s="30"/>
      <c r="J50" s="30"/>
      <c r="K50" s="30"/>
      <c r="L50" s="30"/>
      <c r="M50" s="30"/>
      <c r="N50" s="30"/>
    </row>
    <row r="51" spans="1:14" ht="16.5" customHeight="1" x14ac:dyDescent="0.2">
      <c r="A51" s="89" t="s">
        <v>32</v>
      </c>
      <c r="B51" s="48"/>
      <c r="C51" s="144">
        <v>1</v>
      </c>
      <c r="D51" s="48" t="s">
        <v>1</v>
      </c>
      <c r="E51" s="48"/>
      <c r="F51" s="100"/>
      <c r="G51" s="40"/>
      <c r="H51" s="30"/>
      <c r="I51" s="30"/>
      <c r="J51" s="30"/>
      <c r="K51" s="30"/>
      <c r="L51" s="30"/>
      <c r="M51" s="30"/>
      <c r="N51" s="30"/>
    </row>
    <row r="52" spans="1:14" ht="7.5" customHeight="1" x14ac:dyDescent="0.2">
      <c r="A52" s="89"/>
      <c r="B52" s="91"/>
      <c r="C52" s="91"/>
      <c r="D52" s="48"/>
      <c r="E52" s="104"/>
      <c r="F52" s="105"/>
      <c r="G52" s="42"/>
      <c r="H52" s="52"/>
      <c r="I52" s="30"/>
      <c r="J52" s="30"/>
      <c r="K52" s="30"/>
      <c r="L52" s="30"/>
      <c r="M52" s="30"/>
      <c r="N52" s="30"/>
    </row>
    <row r="53" spans="1:14" ht="16.5" customHeight="1" x14ac:dyDescent="0.2">
      <c r="A53" s="89"/>
      <c r="B53" s="91"/>
      <c r="C53" s="48"/>
      <c r="D53" s="104" t="s">
        <v>26</v>
      </c>
      <c r="E53" s="104" t="s">
        <v>129</v>
      </c>
      <c r="F53" s="105"/>
      <c r="G53" s="42"/>
      <c r="H53" s="30"/>
      <c r="I53" s="30"/>
      <c r="J53" s="30"/>
      <c r="K53" s="30"/>
      <c r="L53" s="30"/>
      <c r="M53" s="30"/>
      <c r="N53" s="30"/>
    </row>
    <row r="54" spans="1:14" ht="16.5" customHeight="1" x14ac:dyDescent="0.2">
      <c r="A54" s="89" t="s">
        <v>33</v>
      </c>
      <c r="B54" s="91" t="s">
        <v>73</v>
      </c>
      <c r="C54" s="106" t="s">
        <v>38</v>
      </c>
      <c r="D54" s="146">
        <f>C50</f>
        <v>0</v>
      </c>
      <c r="E54" s="146">
        <f>D54*C51</f>
        <v>0</v>
      </c>
      <c r="F54" s="100" t="s">
        <v>8</v>
      </c>
      <c r="G54" s="40"/>
      <c r="H54" s="30"/>
      <c r="I54" s="30"/>
      <c r="J54" s="30"/>
      <c r="K54" s="30"/>
      <c r="L54" s="30"/>
      <c r="M54" s="30"/>
      <c r="N54" s="30"/>
    </row>
    <row r="55" spans="1:14" ht="16.5" hidden="1" customHeight="1" x14ac:dyDescent="0.2">
      <c r="A55" s="89" t="s">
        <v>35</v>
      </c>
      <c r="B55" s="91" t="s">
        <v>13</v>
      </c>
      <c r="C55" s="106" t="s">
        <v>39</v>
      </c>
      <c r="D55" s="146" t="e">
        <f>D54/E40</f>
        <v>#DIV/0!</v>
      </c>
      <c r="E55" s="146" t="e">
        <f>D55*C51</f>
        <v>#DIV/0!</v>
      </c>
      <c r="F55" s="100" t="s">
        <v>14</v>
      </c>
      <c r="G55" s="40"/>
      <c r="H55" s="30"/>
      <c r="I55" s="30"/>
      <c r="J55" s="30"/>
      <c r="K55" s="30"/>
      <c r="L55" s="30"/>
      <c r="M55" s="30"/>
      <c r="N55" s="30"/>
    </row>
    <row r="56" spans="1:14" ht="16.5" customHeight="1" x14ac:dyDescent="0.2">
      <c r="A56" s="90" t="s">
        <v>34</v>
      </c>
      <c r="B56" s="110" t="s">
        <v>74</v>
      </c>
      <c r="C56" s="107" t="s">
        <v>39</v>
      </c>
      <c r="D56" s="162">
        <f>IF(E41=0,0,D54/E41)</f>
        <v>0</v>
      </c>
      <c r="E56" s="162">
        <f>D56*C51</f>
        <v>0</v>
      </c>
      <c r="F56" s="102" t="s">
        <v>121</v>
      </c>
      <c r="G56" s="40"/>
      <c r="H56" s="30"/>
      <c r="I56" s="30"/>
      <c r="J56" s="30"/>
      <c r="K56" s="30"/>
      <c r="L56" s="30"/>
      <c r="M56" s="30"/>
      <c r="N56" s="30"/>
    </row>
    <row r="57" spans="1:14" ht="7.5" customHeight="1" x14ac:dyDescent="0.2">
      <c r="A57" s="40"/>
      <c r="B57" s="41"/>
      <c r="C57" s="41"/>
      <c r="D57" s="40"/>
      <c r="E57" s="40"/>
      <c r="F57" s="40"/>
      <c r="G57" s="40"/>
      <c r="H57" s="30"/>
      <c r="I57" s="30"/>
      <c r="J57" s="30"/>
      <c r="K57" s="30"/>
      <c r="L57" s="30"/>
      <c r="M57" s="30"/>
      <c r="N57" s="30"/>
    </row>
    <row r="58" spans="1:14" ht="17.45" customHeight="1" x14ac:dyDescent="0.2">
      <c r="A58" s="333" t="s">
        <v>75</v>
      </c>
      <c r="B58" s="334"/>
      <c r="C58" s="334"/>
      <c r="D58" s="334"/>
      <c r="E58" s="334"/>
      <c r="F58" s="335"/>
      <c r="G58" s="46"/>
      <c r="H58" s="54"/>
      <c r="I58" s="30"/>
      <c r="J58" s="30"/>
      <c r="K58" s="30"/>
      <c r="L58" s="30"/>
      <c r="M58" s="30"/>
      <c r="N58" s="30"/>
    </row>
    <row r="59" spans="1:14" ht="16.5" customHeight="1" thickBot="1" x14ac:dyDescent="0.25">
      <c r="A59" s="51"/>
      <c r="B59" s="331" t="s">
        <v>76</v>
      </c>
      <c r="C59" s="331"/>
      <c r="D59" s="56"/>
      <c r="E59" s="147">
        <f>'B1'!B28</f>
        <v>0</v>
      </c>
      <c r="F59" s="100" t="s">
        <v>40</v>
      </c>
      <c r="G59" s="40"/>
      <c r="H59" s="30"/>
      <c r="I59" s="58"/>
      <c r="J59" s="58"/>
      <c r="K59" s="58"/>
      <c r="L59" s="58"/>
      <c r="M59" s="30"/>
      <c r="N59" s="30"/>
    </row>
    <row r="60" spans="1:14" ht="16.5" hidden="1" customHeight="1" x14ac:dyDescent="0.2">
      <c r="A60" s="51"/>
      <c r="B60" s="41" t="s">
        <v>2</v>
      </c>
      <c r="C60" s="41"/>
      <c r="D60" s="40"/>
      <c r="E60" s="148"/>
      <c r="F60" s="105"/>
      <c r="G60" s="42"/>
      <c r="H60" s="52"/>
      <c r="I60" s="30"/>
      <c r="J60" s="30"/>
      <c r="K60" s="30"/>
      <c r="L60" s="30"/>
      <c r="M60" s="30"/>
      <c r="N60" s="30"/>
    </row>
    <row r="61" spans="1:14" ht="16.5" hidden="1" customHeight="1" x14ac:dyDescent="0.2">
      <c r="A61" s="51"/>
      <c r="B61" s="41" t="s">
        <v>9</v>
      </c>
      <c r="C61" s="41"/>
      <c r="D61" s="57" t="e">
        <f>IF(AND(5&lt;=#REF!,#REF!&lt;10),-4.2*#REF!+201,IF(AND(10&lt;=#REF!,#REF!&lt;20),-2.8*#REF!+187,IF(AND(20&lt;=#REF!,#REF!&lt;30),-2*#REF!+171,IF(AND(30&lt;=#REF!,#REF!&lt;40),-1.7*#REF!+162,IF(AND(40&lt;=#REF!,#REF!&lt;50),-1.3*#REF!+146,IF(AND(50&lt;=#REF!,#REF!&lt;60),-#REF!+131,IF(AND(60&lt;=#REF!,#REF!&lt;70),-0.9*#REF!+125,"")))))))</f>
        <v>#REF!</v>
      </c>
      <c r="E61" s="48"/>
      <c r="F61" s="105"/>
      <c r="G61" s="42"/>
      <c r="H61" s="52"/>
      <c r="I61" s="30"/>
      <c r="J61" s="30"/>
      <c r="K61" s="30"/>
      <c r="L61" s="30"/>
      <c r="M61" s="30"/>
      <c r="N61" s="30"/>
    </row>
    <row r="62" spans="1:14" ht="16.5" hidden="1" customHeight="1" x14ac:dyDescent="0.2">
      <c r="A62" s="51"/>
      <c r="B62" s="41" t="s">
        <v>6</v>
      </c>
      <c r="C62" s="41"/>
      <c r="D62" s="42"/>
      <c r="E62" s="48"/>
      <c r="F62" s="100"/>
      <c r="G62" s="40"/>
      <c r="H62" s="30"/>
      <c r="I62" s="30"/>
      <c r="J62" s="30"/>
      <c r="K62" s="30"/>
      <c r="L62" s="30"/>
      <c r="M62" s="30"/>
      <c r="N62" s="30"/>
    </row>
    <row r="63" spans="1:14" ht="16.5" hidden="1" customHeight="1" x14ac:dyDescent="0.2">
      <c r="A63" s="51"/>
      <c r="B63" s="41" t="s">
        <v>9</v>
      </c>
      <c r="C63" s="41"/>
      <c r="D63" s="57" t="e">
        <f>IF(AND(5&lt;=#REF!,#REF!&lt;10),-4.8*#REF!+247,IF(AND(10&lt;=#REF!,#REF!&lt;20),-3.2*#REF!+231,IF(AND(20&lt;=#REF!,#REF!&lt;30),-2.3*#REF!+213,IF(AND(30&lt;=#REF!,#REF!&lt;40),-1.7*#REF!+195,IF(AND(40&lt;=#REF!,#REF!&lt;50),-1.5*#REF!+187,IF(AND(50&lt;=#REF!,#REF!&lt;60),-1.2*#REF!+172,IF(AND(60&lt;=#REF!,#REF!&lt;70),-1.2*#REF!+171,"")))))))</f>
        <v>#REF!</v>
      </c>
      <c r="E63" s="48"/>
      <c r="F63" s="100"/>
      <c r="G63" s="40"/>
      <c r="H63" s="30"/>
      <c r="I63" s="30"/>
      <c r="J63" s="30"/>
      <c r="K63" s="30"/>
      <c r="L63" s="30"/>
      <c r="M63" s="30"/>
      <c r="N63" s="30"/>
    </row>
    <row r="64" spans="1:14" ht="16.5" hidden="1" customHeight="1" x14ac:dyDescent="0.2">
      <c r="A64" s="51"/>
      <c r="B64" s="41" t="s">
        <v>7</v>
      </c>
      <c r="C64" s="41"/>
      <c r="D64" s="42"/>
      <c r="E64" s="48"/>
      <c r="F64" s="105"/>
      <c r="G64" s="42"/>
      <c r="H64" s="52"/>
      <c r="I64" s="30"/>
      <c r="J64" s="30"/>
      <c r="K64" s="30"/>
      <c r="L64" s="30"/>
      <c r="M64" s="30"/>
      <c r="N64" s="30"/>
    </row>
    <row r="65" spans="1:14" ht="16.5" hidden="1" customHeight="1" x14ac:dyDescent="0.2">
      <c r="A65" s="51"/>
      <c r="B65" s="41" t="s">
        <v>9</v>
      </c>
      <c r="C65" s="41"/>
      <c r="D65" s="57" t="e">
        <f>IF(AND(5&lt;=#REF!,#REF!&lt;10),-4.5*#REF!+224,IF(AND(10&lt;=#REF!,#REF!&lt;20),-3*#REF!+209,IF(AND(20&lt;=#REF!,#REF!&lt;30),-2.15*#REF!+192,IF(AND(30&lt;=#REF!,#REF!&lt;40),-1.7*#REF!+178.5,IF(AND(40&lt;=#REF!,#REF!&lt;50),-1.4*#REF!+166.5,IF(AND(50&lt;=#REF!,#REF!&lt;60),-1.1*#REF!+151.5,IF(AND(60&lt;=#REF!,#REF!&lt;70),-1.05*#REF!+148.5,"")))))))</f>
        <v>#REF!</v>
      </c>
      <c r="E65" s="48"/>
      <c r="F65" s="105"/>
      <c r="G65" s="42"/>
      <c r="H65" s="52"/>
      <c r="I65" s="30"/>
      <c r="J65" s="30"/>
      <c r="K65" s="30"/>
      <c r="L65" s="30"/>
      <c r="M65" s="30"/>
      <c r="N65" s="30"/>
    </row>
    <row r="66" spans="1:14" ht="16.5" hidden="1" customHeight="1" x14ac:dyDescent="0.2">
      <c r="A66" s="51"/>
      <c r="B66" s="59"/>
      <c r="C66" s="59"/>
      <c r="D66" s="40"/>
      <c r="E66" s="148"/>
      <c r="F66" s="105"/>
      <c r="G66" s="42"/>
      <c r="H66" s="52"/>
      <c r="I66" s="30"/>
      <c r="J66" s="30"/>
      <c r="K66" s="30"/>
      <c r="L66" s="30"/>
      <c r="M66" s="30"/>
      <c r="N66" s="30"/>
    </row>
    <row r="67" spans="1:14" ht="16.5" customHeight="1" thickTop="1" x14ac:dyDescent="0.2">
      <c r="A67" s="53"/>
      <c r="B67" s="332" t="s">
        <v>77</v>
      </c>
      <c r="C67" s="332"/>
      <c r="D67" s="60"/>
      <c r="E67" s="149">
        <f>E59*'Volumen Versickerung'!E41</f>
        <v>0</v>
      </c>
      <c r="F67" s="108" t="s">
        <v>41</v>
      </c>
      <c r="G67" s="45"/>
      <c r="H67" s="30"/>
      <c r="I67" s="30"/>
      <c r="J67" s="30"/>
      <c r="K67" s="30"/>
      <c r="L67" s="30"/>
      <c r="M67" s="30"/>
      <c r="N67" s="30"/>
    </row>
    <row r="68" spans="1:14" ht="8.4499999999999993" customHeight="1" x14ac:dyDescent="0.2">
      <c r="A68" s="30"/>
      <c r="B68" s="38"/>
      <c r="C68" s="38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</row>
    <row r="69" spans="1:14" ht="12.75" customHeight="1" x14ac:dyDescent="0.2">
      <c r="A69" s="63" t="s">
        <v>27</v>
      </c>
      <c r="B69" s="44" t="s">
        <v>78</v>
      </c>
      <c r="C69" s="44"/>
      <c r="D69" s="63"/>
      <c r="E69" s="63"/>
      <c r="F69" s="63"/>
      <c r="G69" s="48"/>
      <c r="H69" s="48"/>
      <c r="I69" s="49"/>
      <c r="J69" s="49"/>
      <c r="K69" s="49"/>
      <c r="L69" s="49"/>
      <c r="M69" s="49"/>
      <c r="N69" s="30"/>
    </row>
    <row r="70" spans="1:14" ht="12.75" customHeight="1" x14ac:dyDescent="0.2">
      <c r="A70" s="63" t="s">
        <v>28</v>
      </c>
      <c r="B70" s="44" t="s">
        <v>79</v>
      </c>
      <c r="C70" s="44"/>
      <c r="D70" s="63"/>
      <c r="E70" s="63"/>
      <c r="F70" s="63"/>
      <c r="G70" s="48"/>
      <c r="H70" s="48"/>
      <c r="I70" s="49"/>
      <c r="J70" s="49"/>
      <c r="K70" s="49"/>
      <c r="L70" s="49"/>
      <c r="M70" s="49"/>
      <c r="N70" s="30"/>
    </row>
    <row r="71" spans="1:14" ht="12.75" customHeight="1" x14ac:dyDescent="0.2">
      <c r="A71" s="63" t="s">
        <v>29</v>
      </c>
      <c r="B71" s="44" t="s">
        <v>80</v>
      </c>
      <c r="C71" s="44"/>
      <c r="D71" s="63"/>
      <c r="E71" s="63"/>
      <c r="F71" s="63"/>
      <c r="G71" s="48"/>
      <c r="H71" s="48"/>
      <c r="I71" s="49"/>
      <c r="J71" s="49"/>
      <c r="K71" s="49"/>
      <c r="L71" s="49"/>
      <c r="M71" s="49"/>
      <c r="N71" s="30"/>
    </row>
    <row r="72" spans="1:14" ht="12.75" customHeight="1" x14ac:dyDescent="0.2">
      <c r="A72" s="63" t="s">
        <v>30</v>
      </c>
      <c r="B72" s="44" t="s">
        <v>122</v>
      </c>
      <c r="C72" s="44"/>
      <c r="D72" s="63"/>
      <c r="E72" s="63"/>
      <c r="F72" s="63"/>
      <c r="G72" s="48"/>
      <c r="H72" s="48"/>
      <c r="I72" s="49"/>
      <c r="J72" s="49"/>
      <c r="K72" s="49"/>
      <c r="L72" s="49"/>
      <c r="M72" s="49"/>
      <c r="N72" s="30"/>
    </row>
    <row r="73" spans="1:14" ht="12.75" customHeight="1" x14ac:dyDescent="0.2">
      <c r="A73" s="63" t="s">
        <v>31</v>
      </c>
      <c r="B73" s="44" t="s">
        <v>126</v>
      </c>
      <c r="C73" s="44"/>
      <c r="D73" s="63"/>
      <c r="E73" s="63"/>
      <c r="F73" s="63"/>
      <c r="G73" s="48"/>
      <c r="H73" s="48"/>
      <c r="I73" s="49"/>
      <c r="J73" s="49"/>
      <c r="K73" s="49"/>
      <c r="L73" s="49"/>
      <c r="M73" s="49"/>
      <c r="N73" s="30"/>
    </row>
    <row r="74" spans="1:14" ht="12.75" customHeight="1" x14ac:dyDescent="0.2">
      <c r="A74" s="63" t="s">
        <v>32</v>
      </c>
      <c r="B74" s="44" t="s">
        <v>123</v>
      </c>
      <c r="C74" s="44"/>
      <c r="D74" s="63"/>
      <c r="E74" s="63"/>
      <c r="F74" s="63"/>
      <c r="G74" s="48"/>
      <c r="H74" s="48"/>
      <c r="I74" s="49"/>
      <c r="J74" s="49"/>
      <c r="K74" s="49"/>
      <c r="L74" s="49"/>
      <c r="M74" s="49"/>
      <c r="N74" s="30"/>
    </row>
    <row r="75" spans="1:14" ht="14.25" x14ac:dyDescent="0.2">
      <c r="A75" s="63" t="s">
        <v>33</v>
      </c>
      <c r="B75" s="44" t="s">
        <v>124</v>
      </c>
      <c r="C75" s="44"/>
      <c r="D75" s="63"/>
      <c r="E75" s="63"/>
      <c r="F75" s="63"/>
      <c r="G75" s="48"/>
      <c r="H75" s="48"/>
      <c r="I75" s="49"/>
      <c r="J75" s="49"/>
      <c r="K75" s="49"/>
      <c r="L75" s="49"/>
      <c r="M75" s="49"/>
      <c r="N75" s="30"/>
    </row>
    <row r="76" spans="1:14" ht="14.25" x14ac:dyDescent="0.2">
      <c r="A76" s="63" t="s">
        <v>34</v>
      </c>
      <c r="B76" s="44" t="s">
        <v>125</v>
      </c>
      <c r="C76" s="44"/>
      <c r="D76" s="63"/>
      <c r="E76" s="63"/>
      <c r="F76" s="63"/>
      <c r="G76" s="48"/>
      <c r="H76" s="48"/>
      <c r="I76" s="49"/>
      <c r="J76" s="49"/>
      <c r="K76" s="49"/>
      <c r="L76" s="49"/>
      <c r="M76" s="49"/>
      <c r="N76" s="30"/>
    </row>
    <row r="77" spans="1:14" ht="14.25" x14ac:dyDescent="0.2">
      <c r="A77" s="63"/>
      <c r="B77" s="92"/>
      <c r="C77" s="92"/>
      <c r="D77" s="93"/>
      <c r="E77" s="93"/>
      <c r="F77" s="93"/>
      <c r="G77" s="49"/>
      <c r="H77" s="49"/>
      <c r="I77" s="49"/>
      <c r="J77" s="49"/>
      <c r="K77" s="49"/>
      <c r="L77" s="49"/>
      <c r="M77" s="49"/>
      <c r="N77" s="30"/>
    </row>
    <row r="78" spans="1:14" ht="13.7" customHeight="1" x14ac:dyDescent="0.2">
      <c r="A78" s="30"/>
      <c r="B78" s="38"/>
      <c r="C78" s="38"/>
      <c r="D78" s="30"/>
      <c r="E78" s="30"/>
      <c r="F78" s="30"/>
      <c r="G78" s="30"/>
      <c r="H78" s="30"/>
      <c r="I78" s="61" t="s">
        <v>81</v>
      </c>
      <c r="J78" s="62"/>
      <c r="K78" s="62"/>
      <c r="L78" s="62"/>
      <c r="M78" s="62"/>
      <c r="N78" s="30"/>
    </row>
    <row r="79" spans="1:14" ht="13.7" customHeight="1" x14ac:dyDescent="0.2">
      <c r="A79" s="30"/>
      <c r="B79" s="44" t="s">
        <v>115</v>
      </c>
      <c r="C79" s="92"/>
      <c r="D79" s="93"/>
      <c r="E79" s="93"/>
      <c r="F79" s="93"/>
      <c r="G79" s="93"/>
      <c r="H79" s="93"/>
      <c r="I79" s="93"/>
      <c r="J79" s="93"/>
      <c r="K79" s="30"/>
      <c r="L79" s="30"/>
      <c r="M79" s="30"/>
      <c r="N79" s="30"/>
    </row>
    <row r="80" spans="1:14" ht="13.7" hidden="1" customHeight="1" x14ac:dyDescent="0.2">
      <c r="B80" s="94"/>
      <c r="C80" s="94"/>
      <c r="D80" s="95"/>
      <c r="E80" s="95"/>
      <c r="F80" s="95"/>
      <c r="G80" s="95"/>
      <c r="H80" s="95"/>
      <c r="I80" s="95"/>
      <c r="J80" s="95"/>
    </row>
    <row r="81" spans="2:10" ht="13.7" hidden="1" customHeight="1" x14ac:dyDescent="0.2">
      <c r="B81" s="94"/>
      <c r="C81" s="94"/>
      <c r="D81" s="95"/>
      <c r="E81" s="95"/>
      <c r="F81" s="95"/>
      <c r="G81" s="95"/>
      <c r="H81" s="95"/>
      <c r="I81" s="95"/>
      <c r="J81" s="95"/>
    </row>
    <row r="82" spans="2:10" ht="13.7" hidden="1" customHeight="1" x14ac:dyDescent="0.2">
      <c r="B82" s="96"/>
      <c r="C82" s="94"/>
      <c r="D82" s="95"/>
      <c r="E82" s="95"/>
      <c r="F82" s="95"/>
      <c r="G82" s="95"/>
      <c r="H82" s="95"/>
      <c r="I82" s="95"/>
      <c r="J82" s="95"/>
    </row>
    <row r="83" spans="2:10" ht="13.7" hidden="1" customHeight="1" x14ac:dyDescent="0.2">
      <c r="B83" s="96" t="s">
        <v>82</v>
      </c>
      <c r="C83" s="97"/>
      <c r="D83" s="98"/>
      <c r="E83" s="98"/>
      <c r="F83" s="96" t="s">
        <v>106</v>
      </c>
      <c r="G83" s="98"/>
      <c r="H83" s="98"/>
      <c r="I83" s="98"/>
      <c r="J83" s="98"/>
    </row>
    <row r="84" spans="2:10" ht="13.7" hidden="1" customHeight="1" x14ac:dyDescent="0.2">
      <c r="B84" s="96" t="s">
        <v>83</v>
      </c>
      <c r="C84" s="97"/>
      <c r="D84" s="98"/>
      <c r="E84" s="98"/>
      <c r="F84" s="96" t="s">
        <v>105</v>
      </c>
      <c r="G84" s="98"/>
      <c r="H84" s="98"/>
      <c r="I84" s="98"/>
      <c r="J84" s="98"/>
    </row>
    <row r="85" spans="2:10" ht="13.7" hidden="1" customHeight="1" x14ac:dyDescent="0.2">
      <c r="B85" s="96" t="s">
        <v>84</v>
      </c>
      <c r="C85" s="97"/>
      <c r="D85" s="98"/>
      <c r="E85" s="98"/>
      <c r="F85" s="96" t="s">
        <v>107</v>
      </c>
      <c r="G85" s="98"/>
      <c r="H85" s="98"/>
      <c r="I85" s="98"/>
      <c r="J85" s="98"/>
    </row>
    <row r="86" spans="2:10" ht="13.7" hidden="1" customHeight="1" x14ac:dyDescent="0.2">
      <c r="B86" s="96" t="s">
        <v>85</v>
      </c>
      <c r="C86" s="98"/>
      <c r="D86" s="98"/>
      <c r="E86" s="98"/>
      <c r="F86" s="98"/>
      <c r="G86" s="98"/>
      <c r="H86" s="98"/>
      <c r="I86" s="98"/>
      <c r="J86" s="98"/>
    </row>
    <row r="87" spans="2:10" ht="13.7" hidden="1" customHeight="1" x14ac:dyDescent="0.2">
      <c r="B87" s="96" t="s">
        <v>86</v>
      </c>
      <c r="C87" s="98"/>
      <c r="D87" s="98"/>
      <c r="E87" s="98"/>
      <c r="F87" s="96" t="s">
        <v>108</v>
      </c>
      <c r="G87" s="98"/>
      <c r="H87" s="98"/>
      <c r="I87" s="98"/>
      <c r="J87" s="98"/>
    </row>
    <row r="88" spans="2:10" ht="13.7" hidden="1" customHeight="1" x14ac:dyDescent="0.2">
      <c r="B88" s="96" t="s">
        <v>87</v>
      </c>
      <c r="C88" s="98"/>
      <c r="D88" s="98"/>
      <c r="E88" s="98"/>
      <c r="F88" s="96" t="s">
        <v>109</v>
      </c>
      <c r="G88" s="98"/>
      <c r="H88" s="98"/>
      <c r="I88" s="98"/>
      <c r="J88" s="98"/>
    </row>
    <row r="89" spans="2:10" hidden="1" x14ac:dyDescent="0.2">
      <c r="B89" s="97"/>
      <c r="C89" s="97"/>
      <c r="D89" s="98"/>
      <c r="E89" s="98"/>
      <c r="F89" s="98"/>
      <c r="G89" s="98"/>
      <c r="H89" s="98"/>
      <c r="I89" s="98"/>
      <c r="J89" s="98"/>
    </row>
    <row r="90" spans="2:10" ht="5.25" hidden="1" customHeight="1" x14ac:dyDescent="0.2">
      <c r="B90" s="98"/>
      <c r="C90" s="98"/>
      <c r="D90" s="98"/>
      <c r="E90" s="98"/>
      <c r="F90" s="98"/>
      <c r="G90" s="98"/>
      <c r="H90" s="98"/>
      <c r="I90" s="98"/>
      <c r="J90" s="98"/>
    </row>
    <row r="91" spans="2:10" ht="13.7" hidden="1" customHeight="1" x14ac:dyDescent="0.2">
      <c r="B91" s="98" t="s">
        <v>88</v>
      </c>
      <c r="C91" s="98"/>
      <c r="D91" s="98"/>
      <c r="E91" s="98"/>
      <c r="F91" s="114" t="s">
        <v>102</v>
      </c>
      <c r="G91" s="98"/>
      <c r="H91" s="98"/>
      <c r="I91" s="98"/>
      <c r="J91" s="98"/>
    </row>
    <row r="92" spans="2:10" ht="13.7" hidden="1" customHeight="1" x14ac:dyDescent="0.2">
      <c r="B92" s="98" t="s">
        <v>130</v>
      </c>
      <c r="C92" s="98"/>
      <c r="D92" s="98"/>
      <c r="E92" s="98"/>
      <c r="F92" s="114" t="s">
        <v>103</v>
      </c>
      <c r="G92" s="98"/>
      <c r="H92" s="98"/>
      <c r="I92" s="98"/>
      <c r="J92" s="98"/>
    </row>
    <row r="93" spans="2:10" ht="13.7" hidden="1" customHeight="1" x14ac:dyDescent="0.2">
      <c r="B93" s="98" t="s">
        <v>89</v>
      </c>
      <c r="C93" s="98"/>
      <c r="D93" s="98"/>
      <c r="E93" s="98"/>
      <c r="F93" s="117" t="s">
        <v>104</v>
      </c>
      <c r="G93" s="115"/>
      <c r="H93" s="115"/>
      <c r="I93" s="98"/>
      <c r="J93" s="98"/>
    </row>
    <row r="94" spans="2:10" ht="13.7" hidden="1" customHeight="1" x14ac:dyDescent="0.2">
      <c r="B94" s="98" t="s">
        <v>90</v>
      </c>
      <c r="C94" s="98"/>
      <c r="D94" s="98"/>
      <c r="E94" s="98"/>
      <c r="F94" s="116" t="s">
        <v>110</v>
      </c>
      <c r="G94" s="98"/>
      <c r="H94" s="98"/>
      <c r="I94" s="98"/>
      <c r="J94" s="98"/>
    </row>
    <row r="95" spans="2:10" ht="13.7" hidden="1" customHeight="1" x14ac:dyDescent="0.2">
      <c r="B95" s="98"/>
      <c r="C95" s="98"/>
      <c r="D95" s="98"/>
      <c r="E95" s="98"/>
      <c r="F95" s="98"/>
      <c r="G95" s="98"/>
      <c r="H95" s="98"/>
      <c r="I95" s="98"/>
      <c r="J95" s="98"/>
    </row>
    <row r="96" spans="2:10" ht="13.7" hidden="1" customHeight="1" x14ac:dyDescent="0.2">
      <c r="B96" s="98" t="s">
        <v>91</v>
      </c>
      <c r="C96" s="98"/>
      <c r="D96" s="98"/>
      <c r="E96" s="98"/>
      <c r="F96" s="98"/>
      <c r="G96" s="98"/>
      <c r="H96" s="98"/>
      <c r="I96" s="98"/>
      <c r="J96" s="98"/>
    </row>
    <row r="97" spans="1:10" ht="13.7" hidden="1" customHeight="1" x14ac:dyDescent="0.2">
      <c r="B97" s="98" t="s">
        <v>92</v>
      </c>
      <c r="C97" s="98"/>
      <c r="D97" s="98"/>
      <c r="E97" s="98"/>
      <c r="F97" s="98"/>
      <c r="G97" s="98"/>
      <c r="H97" s="98"/>
      <c r="I97" s="98"/>
      <c r="J97" s="98"/>
    </row>
    <row r="98" spans="1:10" ht="13.7" hidden="1" customHeight="1" x14ac:dyDescent="0.2">
      <c r="B98" s="98" t="s">
        <v>93</v>
      </c>
      <c r="C98" s="98"/>
      <c r="D98" s="98"/>
      <c r="E98" s="98"/>
      <c r="F98" s="98"/>
      <c r="G98" s="98"/>
      <c r="H98" s="98"/>
      <c r="I98" s="98"/>
      <c r="J98" s="98"/>
    </row>
    <row r="99" spans="1:10" ht="13.7" hidden="1" customHeight="1" x14ac:dyDescent="0.2">
      <c r="B99" s="98"/>
      <c r="C99" s="98"/>
      <c r="D99" s="98"/>
      <c r="E99" s="98"/>
      <c r="F99" s="98"/>
      <c r="G99" s="98"/>
      <c r="H99" s="98"/>
      <c r="I99" s="98"/>
      <c r="J99" s="98"/>
    </row>
    <row r="100" spans="1:10" ht="13.7" hidden="1" customHeight="1" x14ac:dyDescent="0.2">
      <c r="B100" s="98" t="s">
        <v>120</v>
      </c>
      <c r="C100" s="98"/>
      <c r="D100" s="98"/>
      <c r="E100" s="98"/>
      <c r="F100" s="98"/>
      <c r="G100" s="98"/>
      <c r="H100" s="98"/>
      <c r="I100" s="98"/>
      <c r="J100" s="98"/>
    </row>
    <row r="101" spans="1:10" ht="13.7" hidden="1" customHeight="1" x14ac:dyDescent="0.2">
      <c r="B101" s="98" t="s">
        <v>94</v>
      </c>
      <c r="C101" s="98"/>
      <c r="D101" s="98"/>
      <c r="E101" s="98"/>
      <c r="F101" s="98"/>
      <c r="G101" s="98"/>
      <c r="H101" s="98"/>
      <c r="I101" s="98"/>
      <c r="J101" s="98"/>
    </row>
    <row r="102" spans="1:10" ht="13.7" hidden="1" customHeight="1" x14ac:dyDescent="0.2">
      <c r="B102" s="98"/>
      <c r="C102" s="98"/>
      <c r="D102" s="98"/>
      <c r="E102" s="98"/>
      <c r="F102" s="98"/>
      <c r="G102" s="98"/>
      <c r="H102" s="98"/>
      <c r="I102" s="98"/>
      <c r="J102" s="98"/>
    </row>
    <row r="103" spans="1:10" ht="13.7" hidden="1" customHeight="1" x14ac:dyDescent="0.2">
      <c r="B103" s="329" t="s">
        <v>95</v>
      </c>
      <c r="C103" s="329"/>
      <c r="D103" s="329"/>
      <c r="E103" s="329"/>
      <c r="F103" s="329"/>
      <c r="G103" s="329"/>
      <c r="H103" s="329"/>
      <c r="I103" s="329"/>
      <c r="J103" s="329"/>
    </row>
    <row r="104" spans="1:10" ht="13.7" hidden="1" customHeight="1" x14ac:dyDescent="0.2">
      <c r="B104" s="329" t="s">
        <v>96</v>
      </c>
      <c r="C104" s="329"/>
      <c r="D104" s="329"/>
      <c r="E104" s="329"/>
      <c r="F104" s="329"/>
      <c r="G104" s="329"/>
      <c r="H104" s="329"/>
      <c r="I104" s="329"/>
      <c r="J104" s="329"/>
    </row>
    <row r="105" spans="1:10" ht="13.7" hidden="1" customHeight="1" x14ac:dyDescent="0.2">
      <c r="B105" s="98" t="s">
        <v>97</v>
      </c>
      <c r="C105" s="98"/>
      <c r="D105" s="98"/>
      <c r="E105" s="98"/>
      <c r="F105" s="98"/>
      <c r="G105" s="98"/>
      <c r="H105" s="98"/>
      <c r="I105" s="98"/>
      <c r="J105" s="98"/>
    </row>
    <row r="106" spans="1:10" ht="13.7" hidden="1" customHeight="1" x14ac:dyDescent="0.2">
      <c r="B106" s="98" t="s">
        <v>98</v>
      </c>
      <c r="C106" s="98"/>
      <c r="D106" s="98"/>
      <c r="E106" s="98"/>
      <c r="F106" s="98"/>
      <c r="G106" s="98"/>
      <c r="H106" s="98"/>
      <c r="I106" s="98"/>
      <c r="J106" s="98"/>
    </row>
    <row r="107" spans="1:10" ht="13.7" hidden="1" customHeight="1" x14ac:dyDescent="0.2">
      <c r="B107" s="94"/>
      <c r="C107" s="95"/>
      <c r="D107" s="95"/>
      <c r="E107" s="95"/>
      <c r="F107" s="95"/>
      <c r="G107" s="95"/>
      <c r="H107" s="95"/>
      <c r="I107" s="95"/>
      <c r="J107" s="95"/>
    </row>
    <row r="108" spans="1:10" ht="13.7" hidden="1" customHeight="1" x14ac:dyDescent="0.2">
      <c r="A108" s="65"/>
      <c r="B108" s="98" t="s">
        <v>99</v>
      </c>
      <c r="C108" s="98"/>
      <c r="D108" s="98"/>
      <c r="E108" s="95"/>
      <c r="F108" s="95"/>
      <c r="G108" s="95"/>
      <c r="H108" s="95"/>
      <c r="I108" s="95"/>
      <c r="J108" s="95"/>
    </row>
    <row r="109" spans="1:10" ht="13.7" hidden="1" customHeight="1" x14ac:dyDescent="0.2">
      <c r="B109" s="95"/>
      <c r="C109" s="95"/>
      <c r="D109" s="95"/>
      <c r="E109" s="95"/>
      <c r="F109" s="95"/>
      <c r="G109" s="95"/>
      <c r="H109" s="95"/>
      <c r="I109" s="95"/>
      <c r="J109" s="95"/>
    </row>
    <row r="110" spans="1:10" ht="13.7" hidden="1" customHeight="1" x14ac:dyDescent="0.2">
      <c r="B110" s="98" t="s">
        <v>100</v>
      </c>
      <c r="C110" s="95"/>
      <c r="D110" s="95"/>
      <c r="E110" s="95"/>
      <c r="F110" s="95"/>
      <c r="G110" s="95"/>
      <c r="H110" s="95"/>
      <c r="I110" s="95"/>
      <c r="J110" s="95"/>
    </row>
    <row r="111" spans="1:10" ht="13.7" hidden="1" customHeight="1" x14ac:dyDescent="0.2">
      <c r="B111" s="98" t="s">
        <v>101</v>
      </c>
      <c r="C111" s="95"/>
      <c r="D111" s="95"/>
      <c r="E111" s="95"/>
      <c r="F111" s="95"/>
      <c r="G111" s="95"/>
      <c r="H111" s="95"/>
      <c r="I111" s="95"/>
      <c r="J111" s="95"/>
    </row>
    <row r="112" spans="1:10" ht="13.7" hidden="1" customHeight="1" x14ac:dyDescent="0.2">
      <c r="B112" s="19"/>
      <c r="C112" s="19"/>
    </row>
    <row r="113" s="19" customFormat="1" ht="13.7" customHeight="1" x14ac:dyDescent="0.2"/>
    <row r="114" s="19" customFormat="1" ht="13.7" customHeight="1" x14ac:dyDescent="0.2"/>
    <row r="115" s="19" customFormat="1" ht="13.7" customHeight="1" x14ac:dyDescent="0.2"/>
    <row r="116" s="19" customFormat="1" ht="13.7" customHeight="1" x14ac:dyDescent="0.2"/>
    <row r="117" s="19" customFormat="1" ht="13.7" customHeight="1" x14ac:dyDescent="0.2"/>
    <row r="118" s="19" customFormat="1" ht="13.7" customHeight="1" x14ac:dyDescent="0.2"/>
    <row r="119" s="19" customFormat="1" ht="13.7" customHeight="1" x14ac:dyDescent="0.2"/>
    <row r="120" s="19" customFormat="1" ht="13.7" customHeight="1" x14ac:dyDescent="0.2"/>
    <row r="121" s="19" customFormat="1" ht="13.7" customHeight="1" x14ac:dyDescent="0.2"/>
    <row r="122" s="19" customFormat="1" ht="13.7" customHeight="1" x14ac:dyDescent="0.2"/>
    <row r="123" s="19" customFormat="1" ht="13.7" customHeight="1" x14ac:dyDescent="0.2"/>
    <row r="124" s="19" customFormat="1" ht="13.7" customHeight="1" x14ac:dyDescent="0.2"/>
    <row r="125" s="19" customFormat="1" ht="13.7" customHeight="1" x14ac:dyDescent="0.2"/>
    <row r="126" s="19" customFormat="1" ht="13.7" customHeight="1" x14ac:dyDescent="0.2"/>
    <row r="127" s="19" customFormat="1" ht="13.7" customHeight="1" x14ac:dyDescent="0.2"/>
  </sheetData>
  <sheetProtection algorithmName="SHA-512" hashValue="atV44vCDVfrDZHj+sCQM5ASaawL07uxqBCdbscennBosX2i0E59K4Hw7YVLeKAxo+PcN1IezFaJSHKVTCYKaWQ==" saltValue="wYgSsaJE0pqw8SCrdhB5Ug==" spinCount="100000" sheet="1" objects="1" scenarios="1"/>
  <mergeCells count="33">
    <mergeCell ref="B103:J103"/>
    <mergeCell ref="E30:G30"/>
    <mergeCell ref="B42:C42"/>
    <mergeCell ref="E27:G27"/>
    <mergeCell ref="E29:G29"/>
    <mergeCell ref="B104:J104"/>
    <mergeCell ref="E34:J34"/>
    <mergeCell ref="E33:J33"/>
    <mergeCell ref="B59:C59"/>
    <mergeCell ref="B67:C67"/>
    <mergeCell ref="A58:F58"/>
    <mergeCell ref="H37:I37"/>
    <mergeCell ref="A48:F48"/>
    <mergeCell ref="B40:C40"/>
    <mergeCell ref="J37:K37"/>
    <mergeCell ref="B46:C46"/>
    <mergeCell ref="C49:F49"/>
    <mergeCell ref="B5:M5"/>
    <mergeCell ref="E46:F46"/>
    <mergeCell ref="E45:F45"/>
    <mergeCell ref="A39:F39"/>
    <mergeCell ref="K32:N34"/>
    <mergeCell ref="E21:G21"/>
    <mergeCell ref="B7:M7"/>
    <mergeCell ref="B41:C41"/>
    <mergeCell ref="E24:G24"/>
    <mergeCell ref="E20:G20"/>
    <mergeCell ref="B9:M9"/>
    <mergeCell ref="E26:G26"/>
    <mergeCell ref="B22:G22"/>
    <mergeCell ref="A44:F44"/>
    <mergeCell ref="C20:D21"/>
    <mergeCell ref="E23:G23"/>
  </mergeCells>
  <phoneticPr fontId="0" type="noConversion"/>
  <conditionalFormatting sqref="B51:F51">
    <cfRule type="expression" dxfId="3" priority="1" stopIfTrue="1">
      <formula>$J$37="Versickerungsanlage"</formula>
    </cfRule>
  </conditionalFormatting>
  <dataValidations count="8">
    <dataValidation type="list" allowBlank="1" showInputMessage="1" showErrorMessage="1" sqref="E23:G24" xr:uid="{00000000-0002-0000-0200-000000000000}">
      <formula1>$B$91:$B$94</formula1>
    </dataValidation>
    <dataValidation type="list" allowBlank="1" showInputMessage="1" showErrorMessage="1" sqref="E26:G27" xr:uid="{00000000-0002-0000-0200-000001000000}">
      <formula1>$B$96:$B$98</formula1>
    </dataValidation>
    <dataValidation type="list" allowBlank="1" showInputMessage="1" showErrorMessage="1" sqref="E29:E30 F30:G30" xr:uid="{00000000-0002-0000-0200-000002000000}">
      <formula1>$B$100:$B$101</formula1>
    </dataValidation>
    <dataValidation type="list" allowBlank="1" showInputMessage="1" showErrorMessage="1" sqref="E20:G20" xr:uid="{00000000-0002-0000-0200-000003000000}">
      <formula1>$B$83:$B$88</formula1>
    </dataValidation>
    <dataValidation type="list" allowBlank="1" showInputMessage="1" showErrorMessage="1" sqref="E21:G21" xr:uid="{00000000-0002-0000-0200-000004000000}">
      <formula1>$B$110:$B$111</formula1>
    </dataValidation>
    <dataValidation showInputMessage="1" showErrorMessage="1" sqref="E45:F45 C49:F49" xr:uid="{00000000-0002-0000-0200-000005000000}"/>
    <dataValidation type="list" showInputMessage="1" showErrorMessage="1" sqref="E46:F46" xr:uid="{00000000-0002-0000-0200-000006000000}">
      <formula1>Typ_Jährlichkeit</formula1>
    </dataValidation>
    <dataValidation type="list" showInputMessage="1" showErrorMessage="1" sqref="G45:H47 E47:F47" xr:uid="{00000000-0002-0000-0200-000008000000}">
      <formula1>#REF!</formula1>
    </dataValidation>
  </dataValidations>
  <hyperlinks>
    <hyperlink ref="C20:D21" r:id="rId1" display="Siehe Geoportal" xr:uid="{00000000-0004-0000-0200-000000000000}"/>
  </hyperlinks>
  <printOptions horizontalCentered="1" verticalCentered="1"/>
  <pageMargins left="0.62992125984251968" right="0.70866141732283472" top="1.1413043478260869" bottom="0.55118110236220474" header="0.19685039370078741" footer="0.19685039370078741"/>
  <pageSetup paperSize="9" fitToHeight="0" orientation="landscape" r:id="rId2"/>
  <headerFooter differentFirst="1" alignWithMargins="0">
    <oddHeader>&amp;L&amp;"Arial,Fett"&amp;8Amt für Umwelt&amp;"Arial,Standard" AfU
Seite &amp;P von &amp;N</oddHeader>
    <oddFooter>&amp;R 4.2.009.1 / August 2013</oddFooter>
    <firstHeader>&amp;L&amp;G&amp;R&amp;"Arial,Gras"&amp;8Amt für Umwelt &amp;"Arial,Normal"AfU 
Route de la Fonderie 2
1701 Fribourg</firstHeader>
    <firstFooter>&amp;L—
&amp;8Direction de l'aménagement, de l'environnement et des constructions &amp;"Arial,Gras"DAEC&amp;"Arial,Normal"
Raumplanungs-, Umwelt- und Baudirektion &amp;"Arial,Gras"RUBD&amp;"Arial,Normal" &amp;R 4.2.009.1 / August 2013</firstFooter>
  </headerFooter>
  <rowBreaks count="1" manualBreakCount="1">
    <brk id="36" max="16383" man="1"/>
  </rowBreaks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6"/>
  <dimension ref="A1:M56"/>
  <sheetViews>
    <sheetView workbookViewId="0">
      <selection activeCell="B21" sqref="B21"/>
    </sheetView>
  </sheetViews>
  <sheetFormatPr baseColWidth="10" defaultRowHeight="12.75" x14ac:dyDescent="0.2"/>
  <cols>
    <col min="4" max="4" width="14.5703125" customWidth="1"/>
  </cols>
  <sheetData>
    <row r="1" spans="1:13" x14ac:dyDescent="0.2">
      <c r="F1" s="14" t="s">
        <v>162</v>
      </c>
    </row>
    <row r="2" spans="1:13" x14ac:dyDescent="0.2">
      <c r="A2" s="7" t="s">
        <v>179</v>
      </c>
      <c r="C2">
        <v>5</v>
      </c>
      <c r="D2" s="7" t="s">
        <v>178</v>
      </c>
      <c r="F2" s="14"/>
      <c r="G2" s="8"/>
      <c r="H2" s="8"/>
      <c r="I2" s="8"/>
      <c r="J2" s="8"/>
      <c r="K2" s="8"/>
      <c r="L2" s="8"/>
    </row>
    <row r="3" spans="1:13" x14ac:dyDescent="0.2">
      <c r="F3" s="17"/>
      <c r="G3" s="18"/>
      <c r="H3" s="18"/>
      <c r="I3" s="18"/>
      <c r="J3" s="18"/>
      <c r="K3" s="18"/>
      <c r="L3" s="18"/>
    </row>
    <row r="4" spans="1:13" x14ac:dyDescent="0.2">
      <c r="A4" s="135" t="s">
        <v>5</v>
      </c>
      <c r="B4" s="136" t="s">
        <v>106</v>
      </c>
      <c r="C4" s="136" t="s">
        <v>105</v>
      </c>
      <c r="D4" s="137" t="s">
        <v>107</v>
      </c>
      <c r="F4" s="7" t="s">
        <v>153</v>
      </c>
      <c r="G4" t="s">
        <v>154</v>
      </c>
      <c r="H4" t="s">
        <v>156</v>
      </c>
      <c r="I4" s="7" t="s">
        <v>158</v>
      </c>
      <c r="J4" t="s">
        <v>157</v>
      </c>
      <c r="L4" s="7" t="s">
        <v>175</v>
      </c>
    </row>
    <row r="5" spans="1:13" x14ac:dyDescent="0.2">
      <c r="A5" s="14"/>
      <c r="B5" s="7"/>
      <c r="C5" s="7"/>
      <c r="D5" s="15"/>
      <c r="F5" s="134">
        <v>5</v>
      </c>
      <c r="G5">
        <f>F5/2.78/$B$19</f>
        <v>4.6093314994339739E-2</v>
      </c>
      <c r="H5" s="134">
        <f>SQRT($B$20/G5)-$B$20</f>
        <v>2.0455965800726634</v>
      </c>
      <c r="I5" s="134">
        <f>H5*60</f>
        <v>122.73579480435981</v>
      </c>
      <c r="J5">
        <f t="shared" ref="J5:J26" si="0">IF(ISNUMBER(F5),($B$19/(H5+$B$20)*2.78-F5)*H5*3.6,NA())</f>
        <v>312.53268311738407</v>
      </c>
      <c r="K5" s="7"/>
      <c r="L5" s="7" t="s">
        <v>10</v>
      </c>
      <c r="M5" s="7" t="s">
        <v>11</v>
      </c>
    </row>
    <row r="6" spans="1:13" x14ac:dyDescent="0.2">
      <c r="A6" s="14" t="s">
        <v>3</v>
      </c>
      <c r="B6" s="16">
        <v>23.61</v>
      </c>
      <c r="C6" s="16">
        <v>28.6</v>
      </c>
      <c r="D6" s="138">
        <f>AVERAGE(B6:C6)</f>
        <v>26.105</v>
      </c>
      <c r="F6" s="7">
        <v>10</v>
      </c>
      <c r="G6">
        <f>F6/2.78/$B$19</f>
        <v>9.2186629988679478E-2</v>
      </c>
      <c r="H6" s="134">
        <f t="shared" ref="H6:H29" si="1">SQRT($B$20/G6)-$B$20</f>
        <v>1.3758679476073485</v>
      </c>
      <c r="I6" s="134">
        <f t="shared" ref="I6:I29" si="2">H6*60</f>
        <v>82.55207685644092</v>
      </c>
      <c r="J6">
        <f t="shared" si="0"/>
        <v>282.77366777227093</v>
      </c>
      <c r="L6" s="7">
        <f>B24</f>
        <v>0</v>
      </c>
      <c r="M6" s="9">
        <v>0</v>
      </c>
    </row>
    <row r="7" spans="1:13" x14ac:dyDescent="0.2">
      <c r="A7" s="14" t="s">
        <v>4</v>
      </c>
      <c r="B7" s="16">
        <v>0.219</v>
      </c>
      <c r="C7" s="16">
        <v>0.224</v>
      </c>
      <c r="D7" s="138">
        <f>AVERAGE(B7:C7)</f>
        <v>0.2215</v>
      </c>
      <c r="F7" s="7">
        <f t="shared" ref="F7:F17" si="3">IF(ISNUMBER(F6),IF(F6+10&lt;=MAX(120,ROUNDUP($B$22/10,0)*10),F6+10,NA()),NA())</f>
        <v>20</v>
      </c>
      <c r="G7">
        <f t="shared" ref="G7:G29" si="4">F7/2.78/$B$19</f>
        <v>0.18437325997735896</v>
      </c>
      <c r="H7" s="134">
        <f t="shared" si="1"/>
        <v>0.90229829003633177</v>
      </c>
      <c r="I7" s="134">
        <f t="shared" si="2"/>
        <v>54.13789740217991</v>
      </c>
      <c r="J7">
        <f t="shared" si="0"/>
        <v>243.22920623476821</v>
      </c>
      <c r="L7" s="7">
        <f>B24</f>
        <v>0</v>
      </c>
      <c r="M7" s="9">
        <f>B28</f>
        <v>0</v>
      </c>
    </row>
    <row r="8" spans="1:13" x14ac:dyDescent="0.2">
      <c r="A8" s="21"/>
      <c r="D8" s="22"/>
      <c r="F8" s="7">
        <f t="shared" si="3"/>
        <v>30</v>
      </c>
      <c r="G8">
        <f t="shared" si="4"/>
        <v>0.27655988996603842</v>
      </c>
      <c r="H8" s="134">
        <f t="shared" si="1"/>
        <v>0.69249914479518049</v>
      </c>
      <c r="I8" s="134">
        <f t="shared" si="2"/>
        <v>41.549948687710831</v>
      </c>
      <c r="J8">
        <f t="shared" si="0"/>
        <v>214.90434472424101</v>
      </c>
      <c r="K8" s="7"/>
      <c r="L8" s="7">
        <v>0</v>
      </c>
      <c r="M8" s="9">
        <f>B28</f>
        <v>0</v>
      </c>
    </row>
    <row r="9" spans="1:13" x14ac:dyDescent="0.2">
      <c r="A9" s="135" t="s">
        <v>159</v>
      </c>
      <c r="B9" s="136" t="s">
        <v>106</v>
      </c>
      <c r="C9" s="136" t="s">
        <v>105</v>
      </c>
      <c r="D9" s="137" t="s">
        <v>107</v>
      </c>
      <c r="F9" s="7">
        <f t="shared" si="3"/>
        <v>40</v>
      </c>
      <c r="G9">
        <f t="shared" si="4"/>
        <v>0.36874651995471791</v>
      </c>
      <c r="H9" s="134">
        <f t="shared" si="1"/>
        <v>0.56743397380367433</v>
      </c>
      <c r="I9" s="134">
        <f t="shared" si="2"/>
        <v>34.046038428220463</v>
      </c>
      <c r="J9">
        <f t="shared" si="0"/>
        <v>192.38717554454183</v>
      </c>
      <c r="L9">
        <f>B24</f>
        <v>0</v>
      </c>
      <c r="M9" s="9">
        <f>M8</f>
        <v>0</v>
      </c>
    </row>
    <row r="10" spans="1:13" x14ac:dyDescent="0.2">
      <c r="A10" s="14"/>
      <c r="D10" s="22"/>
      <c r="F10" s="7">
        <f t="shared" si="3"/>
        <v>50</v>
      </c>
      <c r="G10">
        <f t="shared" si="4"/>
        <v>0.4609331499433974</v>
      </c>
      <c r="H10" s="134">
        <f t="shared" si="1"/>
        <v>0.48208532829812001</v>
      </c>
      <c r="I10" s="134">
        <f t="shared" si="2"/>
        <v>28.925119697887201</v>
      </c>
      <c r="J10">
        <f t="shared" si="0"/>
        <v>173.58144181267684</v>
      </c>
    </row>
    <row r="11" spans="1:13" x14ac:dyDescent="0.2">
      <c r="A11" s="14" t="s">
        <v>3</v>
      </c>
      <c r="B11">
        <v>39.020000000000003</v>
      </c>
      <c r="C11">
        <v>48.33</v>
      </c>
      <c r="D11" s="22">
        <v>43.67</v>
      </c>
      <c r="F11" s="7">
        <f t="shared" si="3"/>
        <v>60</v>
      </c>
      <c r="G11">
        <f t="shared" si="4"/>
        <v>0.55311977993207684</v>
      </c>
      <c r="H11" s="134">
        <f t="shared" si="1"/>
        <v>0.41908357551651498</v>
      </c>
      <c r="I11" s="134">
        <f t="shared" si="2"/>
        <v>25.145014530990899</v>
      </c>
      <c r="J11">
        <f t="shared" si="0"/>
        <v>157.41205537686557</v>
      </c>
    </row>
    <row r="12" spans="1:13" x14ac:dyDescent="0.2">
      <c r="A12" s="17" t="s">
        <v>4</v>
      </c>
      <c r="B12" s="24">
        <v>0.24099999999999999</v>
      </c>
      <c r="C12" s="24">
        <v>0.25700000000000001</v>
      </c>
      <c r="D12" s="139">
        <v>0.249</v>
      </c>
      <c r="F12" s="7">
        <f t="shared" si="3"/>
        <v>70</v>
      </c>
      <c r="G12">
        <f t="shared" si="4"/>
        <v>0.64530640992075639</v>
      </c>
      <c r="H12" s="134">
        <f t="shared" si="1"/>
        <v>0.37011864174292231</v>
      </c>
      <c r="I12" s="134">
        <f t="shared" si="2"/>
        <v>22.207118504575337</v>
      </c>
      <c r="J12">
        <f t="shared" si="0"/>
        <v>143.24036456156713</v>
      </c>
    </row>
    <row r="13" spans="1:13" x14ac:dyDescent="0.2">
      <c r="F13" s="7">
        <f t="shared" si="3"/>
        <v>80</v>
      </c>
      <c r="G13">
        <f t="shared" si="4"/>
        <v>0.73749303990943582</v>
      </c>
      <c r="H13" s="134">
        <f t="shared" si="1"/>
        <v>0.33064914501816589</v>
      </c>
      <c r="I13" s="134">
        <f t="shared" si="2"/>
        <v>19.838948701089954</v>
      </c>
      <c r="J13">
        <f t="shared" si="0"/>
        <v>130.65025246953647</v>
      </c>
    </row>
    <row r="14" spans="1:13" x14ac:dyDescent="0.2">
      <c r="F14" s="7">
        <f t="shared" si="3"/>
        <v>90</v>
      </c>
      <c r="G14">
        <f t="shared" si="4"/>
        <v>0.82967966989811526</v>
      </c>
      <c r="H14" s="134">
        <f t="shared" si="1"/>
        <v>0.29795598253578293</v>
      </c>
      <c r="I14" s="134">
        <f t="shared" si="2"/>
        <v>17.877358952146977</v>
      </c>
      <c r="J14">
        <f t="shared" si="0"/>
        <v>119.35268331681269</v>
      </c>
    </row>
    <row r="15" spans="1:13" x14ac:dyDescent="0.2">
      <c r="F15" s="7">
        <f t="shared" si="3"/>
        <v>100</v>
      </c>
      <c r="G15">
        <f t="shared" si="4"/>
        <v>0.9218662998867948</v>
      </c>
      <c r="H15" s="134">
        <f t="shared" si="1"/>
        <v>0.27029853901610168</v>
      </c>
      <c r="I15" s="134">
        <f t="shared" si="2"/>
        <v>16.217912340966102</v>
      </c>
      <c r="J15">
        <f t="shared" si="0"/>
        <v>109.13721190840683</v>
      </c>
    </row>
    <row r="16" spans="1:13" x14ac:dyDescent="0.2">
      <c r="A16" s="13" t="s">
        <v>160</v>
      </c>
      <c r="C16" t="str">
        <f>'Volumen Versickerung'!E45</f>
        <v>Mittelland</v>
      </c>
      <c r="F16" s="7">
        <f t="shared" si="3"/>
        <v>110</v>
      </c>
      <c r="G16">
        <f t="shared" si="4"/>
        <v>1.0140529298754744</v>
      </c>
      <c r="H16" s="134">
        <f t="shared" si="1"/>
        <v>0.24650402888778078</v>
      </c>
      <c r="I16" s="134">
        <f t="shared" si="2"/>
        <v>14.790241733266846</v>
      </c>
      <c r="J16">
        <f t="shared" si="0"/>
        <v>99.844969120877636</v>
      </c>
    </row>
    <row r="17" spans="1:10" x14ac:dyDescent="0.2">
      <c r="A17" s="13" t="s">
        <v>161</v>
      </c>
      <c r="C17" s="7" t="str">
        <f>'Volumen Versickerung'!E46</f>
        <v>5 Jahre</v>
      </c>
      <c r="F17" s="7">
        <f t="shared" si="3"/>
        <v>120</v>
      </c>
      <c r="G17">
        <f t="shared" si="4"/>
        <v>1.1062395598641537</v>
      </c>
      <c r="H17" s="134">
        <f t="shared" si="1"/>
        <v>0.22574957239759025</v>
      </c>
      <c r="I17" s="134">
        <f t="shared" si="2"/>
        <v>13.544974343855415</v>
      </c>
      <c r="J17">
        <f t="shared" si="0"/>
        <v>91.352529448482031</v>
      </c>
    </row>
    <row r="18" spans="1:10" x14ac:dyDescent="0.2">
      <c r="F18" s="7">
        <v>130</v>
      </c>
      <c r="G18">
        <f t="shared" si="4"/>
        <v>1.1984261898528332</v>
      </c>
      <c r="H18" s="134">
        <f t="shared" si="1"/>
        <v>0.20743848390403991</v>
      </c>
      <c r="I18" s="134">
        <f t="shared" si="2"/>
        <v>12.446309034242395</v>
      </c>
      <c r="J18">
        <f t="shared" si="0"/>
        <v>83.561739065818685</v>
      </c>
    </row>
    <row r="19" spans="1:10" x14ac:dyDescent="0.2">
      <c r="A19" s="7" t="s">
        <v>3</v>
      </c>
      <c r="B19" s="7">
        <f>IF(C17="1 Jahr",IF(C16="Mittelland",B6,IF(C16="Voralpen",C6,IF(C16="Übergangszone",D6,""))),IF(C17="5 Jahre",IF(C16="Mittelland",B11,IF(C16="Voralpen",C11,IF(C16="Übergangszone",D11,"")))))</f>
        <v>39.020000000000003</v>
      </c>
      <c r="F19" s="7">
        <v>140</v>
      </c>
      <c r="G19">
        <f t="shared" si="4"/>
        <v>1.2906128198415128</v>
      </c>
      <c r="H19" s="134">
        <f t="shared" si="1"/>
        <v>0.19112613568593273</v>
      </c>
      <c r="I19" s="134">
        <f t="shared" si="2"/>
        <v>11.467568141155963</v>
      </c>
      <c r="J19">
        <f t="shared" si="0"/>
        <v>76.393015228579799</v>
      </c>
    </row>
    <row r="20" spans="1:10" x14ac:dyDescent="0.2">
      <c r="A20" s="7" t="s">
        <v>4</v>
      </c>
      <c r="B20">
        <f>IF(C17="1 Jahr",IF(C16="Mittelland",B7,IF(C16="Voralpen",C7,IF(C16="Übergangszone",D7,""))),IF(C17="5 Jahre",IF(C16="Mittelland",B12,IF(C16="Voralpen",C12,IF(C16="Übergangszone",D12,"")))))</f>
        <v>0.24099999999999999</v>
      </c>
      <c r="F20" s="7">
        <v>150</v>
      </c>
      <c r="G20">
        <f t="shared" si="4"/>
        <v>1.3827994498301921</v>
      </c>
      <c r="H20" s="134">
        <f t="shared" si="1"/>
        <v>0.17647350893998853</v>
      </c>
      <c r="I20" s="134">
        <f t="shared" si="2"/>
        <v>10.588410536399312</v>
      </c>
      <c r="J20">
        <f t="shared" si="0"/>
        <v>69.78077034481241</v>
      </c>
    </row>
    <row r="21" spans="1:10" x14ac:dyDescent="0.2">
      <c r="A21" s="7" t="s">
        <v>177</v>
      </c>
      <c r="B21" s="11">
        <f>2.78*B19/(B20+C2/60)</f>
        <v>334.45714285714291</v>
      </c>
      <c r="C21" s="7" t="s">
        <v>153</v>
      </c>
      <c r="F21" s="7">
        <v>160</v>
      </c>
      <c r="G21">
        <f t="shared" si="4"/>
        <v>1.4749860798188716</v>
      </c>
      <c r="H21" s="134">
        <f t="shared" si="1"/>
        <v>0.16321698690183717</v>
      </c>
      <c r="I21" s="134">
        <f t="shared" si="2"/>
        <v>9.793019214110231</v>
      </c>
      <c r="J21">
        <f t="shared" si="0"/>
        <v>63.670191089083616</v>
      </c>
    </row>
    <row r="22" spans="1:10" x14ac:dyDescent="0.2">
      <c r="A22" s="13" t="s">
        <v>176</v>
      </c>
      <c r="D22" t="str">
        <f>'Volumen Retention'!C49</f>
        <v>Abflussbeiwert</v>
      </c>
      <c r="F22" s="7">
        <v>170</v>
      </c>
      <c r="G22">
        <f t="shared" si="4"/>
        <v>1.5671727098075512</v>
      </c>
      <c r="H22" s="134">
        <f t="shared" si="1"/>
        <v>0.15114807827416121</v>
      </c>
      <c r="I22" s="134">
        <f t="shared" si="2"/>
        <v>9.0688846964496719</v>
      </c>
      <c r="J22">
        <f t="shared" si="0"/>
        <v>58.014912192426706</v>
      </c>
    </row>
    <row r="23" spans="1:10" x14ac:dyDescent="0.2">
      <c r="A23" s="7" t="s">
        <v>163</v>
      </c>
      <c r="B23" s="11">
        <f>'Volumen Versickerung'!D56</f>
        <v>0</v>
      </c>
      <c r="C23" s="7" t="s">
        <v>153</v>
      </c>
      <c r="F23" s="7">
        <v>180</v>
      </c>
      <c r="G23">
        <f t="shared" si="4"/>
        <v>1.6593593397962305</v>
      </c>
      <c r="H23" s="134">
        <f t="shared" si="1"/>
        <v>0.14009943001211056</v>
      </c>
      <c r="I23" s="134">
        <f t="shared" si="2"/>
        <v>8.4059658007266336</v>
      </c>
      <c r="J23">
        <f t="shared" si="0"/>
        <v>52.77529870430471</v>
      </c>
    </row>
    <row r="24" spans="1:10" x14ac:dyDescent="0.2">
      <c r="A24" s="7" t="s">
        <v>180</v>
      </c>
      <c r="B24">
        <f>B23*'Volumen Versickerung'!C51</f>
        <v>0</v>
      </c>
      <c r="F24" s="7">
        <v>190</v>
      </c>
      <c r="G24">
        <f t="shared" si="4"/>
        <v>1.7515459697849101</v>
      </c>
      <c r="H24" s="134">
        <f t="shared" si="1"/>
        <v>0.12993494677212891</v>
      </c>
      <c r="I24" s="134">
        <f t="shared" si="2"/>
        <v>7.7960968063277347</v>
      </c>
      <c r="J24">
        <f t="shared" si="0"/>
        <v>47.917152815727682</v>
      </c>
    </row>
    <row r="25" spans="1:10" x14ac:dyDescent="0.2">
      <c r="A25" s="13" t="s">
        <v>165</v>
      </c>
      <c r="F25" s="7">
        <v>200</v>
      </c>
      <c r="G25">
        <f t="shared" si="4"/>
        <v>1.8437325997735896</v>
      </c>
      <c r="H25" s="134">
        <f t="shared" si="1"/>
        <v>0.12054266414906001</v>
      </c>
      <c r="I25" s="134">
        <f t="shared" si="2"/>
        <v>7.2325598489436</v>
      </c>
      <c r="J25">
        <f t="shared" si="0"/>
        <v>43.410723625353604</v>
      </c>
    </row>
    <row r="26" spans="1:10" x14ac:dyDescent="0.2">
      <c r="A26" s="7" t="s">
        <v>154</v>
      </c>
      <c r="B26" s="9">
        <f>B24/2.78/$B$19</f>
        <v>0</v>
      </c>
      <c r="F26" s="7">
        <v>210</v>
      </c>
      <c r="G26">
        <f t="shared" si="4"/>
        <v>1.9359192297622689</v>
      </c>
      <c r="H26" s="134">
        <f t="shared" si="1"/>
        <v>0.11182951231707472</v>
      </c>
      <c r="I26" s="134">
        <f t="shared" si="2"/>
        <v>6.7097707390244832</v>
      </c>
      <c r="J26">
        <f t="shared" si="0"/>
        <v>39.229937376583088</v>
      </c>
    </row>
    <row r="27" spans="1:10" x14ac:dyDescent="0.2">
      <c r="A27" s="7" t="s">
        <v>155</v>
      </c>
      <c r="B27" s="9">
        <f>IF(B24&gt;0,SQRT($B$20/B26)-$B$20,0)</f>
        <v>0</v>
      </c>
      <c r="C27" s="7" t="s">
        <v>166</v>
      </c>
      <c r="F27" s="7">
        <v>220</v>
      </c>
      <c r="G27">
        <f t="shared" si="4"/>
        <v>2.0281058597509487</v>
      </c>
      <c r="H27" s="134">
        <f t="shared" si="1"/>
        <v>0.10371740468231233</v>
      </c>
      <c r="I27" s="134">
        <f t="shared" si="2"/>
        <v>6.2230442809387396</v>
      </c>
      <c r="J27">
        <f>IF(ISNUMBER(F27),($B$19/(H27+$B$20)*2.78-F27)*H27*3.6,NA())</f>
        <v>35.351790983217278</v>
      </c>
    </row>
    <row r="28" spans="1:10" x14ac:dyDescent="0.2">
      <c r="A28" s="7" t="s">
        <v>164</v>
      </c>
      <c r="B28" s="9">
        <f>IF('Volumen Versickerung'!E56=0,0,($B$19/(B27+$B$20)*2.78-B24)*B27*3.6)</f>
        <v>0</v>
      </c>
      <c r="C28" s="7" t="s">
        <v>167</v>
      </c>
      <c r="F28" s="7">
        <v>230</v>
      </c>
      <c r="G28">
        <f t="shared" si="4"/>
        <v>2.120292489739628</v>
      </c>
      <c r="H28" s="134">
        <f t="shared" si="1"/>
        <v>9.6140272703011398E-2</v>
      </c>
      <c r="I28" s="134">
        <f t="shared" si="2"/>
        <v>5.7684163621806839</v>
      </c>
      <c r="J28">
        <f t="shared" ref="J28:J29" si="5">IF(ISNUMBER(F28),($B$19/(H28+$B$20)*2.78-F28)*H28*3.6,NA())</f>
        <v>31.755868403813196</v>
      </c>
    </row>
    <row r="29" spans="1:10" x14ac:dyDescent="0.2">
      <c r="F29" s="7">
        <v>240</v>
      </c>
      <c r="G29">
        <f t="shared" si="4"/>
        <v>2.2124791197283074</v>
      </c>
      <c r="H29" s="134">
        <f t="shared" si="1"/>
        <v>8.9041787758257496E-2</v>
      </c>
      <c r="I29" s="134">
        <f t="shared" si="2"/>
        <v>5.34250726549545</v>
      </c>
      <c r="J29">
        <f t="shared" si="5"/>
        <v>28.423950753731102</v>
      </c>
    </row>
    <row r="30" spans="1:10" x14ac:dyDescent="0.2">
      <c r="A30" s="13" t="s">
        <v>110</v>
      </c>
      <c r="F30" s="7"/>
      <c r="H30" s="134"/>
      <c r="I30" s="134"/>
    </row>
    <row r="31" spans="1:10" x14ac:dyDescent="0.2">
      <c r="A31">
        <f>B23/B21</f>
        <v>0</v>
      </c>
      <c r="F31" s="7"/>
      <c r="H31" s="134"/>
      <c r="I31" s="134"/>
    </row>
    <row r="32" spans="1:10" x14ac:dyDescent="0.2">
      <c r="A32" s="13" t="s">
        <v>168</v>
      </c>
      <c r="F32" s="7"/>
      <c r="H32" s="134"/>
      <c r="I32" s="134"/>
    </row>
    <row r="33" spans="6:9" x14ac:dyDescent="0.2">
      <c r="F33" s="7"/>
      <c r="H33" s="134"/>
      <c r="I33" s="134"/>
    </row>
    <row r="34" spans="6:9" x14ac:dyDescent="0.2">
      <c r="F34" s="7"/>
      <c r="H34" s="134"/>
      <c r="I34" s="134"/>
    </row>
    <row r="35" spans="6:9" x14ac:dyDescent="0.2">
      <c r="F35" s="7"/>
      <c r="H35" s="134"/>
      <c r="I35" s="134"/>
    </row>
    <row r="36" spans="6:9" x14ac:dyDescent="0.2">
      <c r="F36" s="7"/>
      <c r="H36" s="134"/>
      <c r="I36" s="134"/>
    </row>
    <row r="37" spans="6:9" x14ac:dyDescent="0.2">
      <c r="F37" s="7"/>
      <c r="H37" s="134"/>
      <c r="I37" s="134"/>
    </row>
    <row r="38" spans="6:9" x14ac:dyDescent="0.2">
      <c r="F38" s="7"/>
      <c r="H38" s="134"/>
      <c r="I38" s="134"/>
    </row>
    <row r="39" spans="6:9" x14ac:dyDescent="0.2">
      <c r="F39" s="7"/>
      <c r="H39" s="134"/>
      <c r="I39" s="134"/>
    </row>
    <row r="40" spans="6:9" x14ac:dyDescent="0.2">
      <c r="F40" s="7"/>
      <c r="H40" s="134"/>
      <c r="I40" s="134"/>
    </row>
    <row r="41" spans="6:9" x14ac:dyDescent="0.2">
      <c r="F41" s="7"/>
      <c r="H41" s="134"/>
      <c r="I41" s="134"/>
    </row>
    <row r="42" spans="6:9" x14ac:dyDescent="0.2">
      <c r="F42" s="7"/>
      <c r="H42" s="134"/>
      <c r="I42" s="134"/>
    </row>
    <row r="43" spans="6:9" x14ac:dyDescent="0.2">
      <c r="F43" s="7"/>
      <c r="H43" s="134"/>
      <c r="I43" s="134"/>
    </row>
    <row r="44" spans="6:9" x14ac:dyDescent="0.2">
      <c r="F44" s="7"/>
      <c r="H44" s="134"/>
      <c r="I44" s="134"/>
    </row>
    <row r="45" spans="6:9" x14ac:dyDescent="0.2">
      <c r="F45" s="7"/>
      <c r="H45" s="134"/>
      <c r="I45" s="134"/>
    </row>
    <row r="46" spans="6:9" x14ac:dyDescent="0.2">
      <c r="F46" s="7"/>
      <c r="H46" s="134"/>
      <c r="I46" s="134"/>
    </row>
    <row r="47" spans="6:9" x14ac:dyDescent="0.2">
      <c r="F47" s="7"/>
      <c r="H47" s="134"/>
      <c r="I47" s="134"/>
    </row>
    <row r="48" spans="6:9" x14ac:dyDescent="0.2">
      <c r="F48" s="7"/>
      <c r="H48" s="134"/>
      <c r="I48" s="134"/>
    </row>
    <row r="49" spans="6:9" x14ac:dyDescent="0.2">
      <c r="F49" s="7"/>
      <c r="H49" s="134"/>
      <c r="I49" s="134"/>
    </row>
    <row r="50" spans="6:9" x14ac:dyDescent="0.2">
      <c r="F50" s="7"/>
      <c r="H50" s="134"/>
      <c r="I50" s="134"/>
    </row>
    <row r="51" spans="6:9" x14ac:dyDescent="0.2">
      <c r="F51" s="7"/>
      <c r="H51" s="134"/>
      <c r="I51" s="134"/>
    </row>
    <row r="52" spans="6:9" x14ac:dyDescent="0.2">
      <c r="I52" s="134"/>
    </row>
    <row r="53" spans="6:9" x14ac:dyDescent="0.2">
      <c r="I53" s="134"/>
    </row>
    <row r="54" spans="6:9" x14ac:dyDescent="0.2">
      <c r="I54" s="134"/>
    </row>
    <row r="55" spans="6:9" x14ac:dyDescent="0.2">
      <c r="I55" s="134"/>
    </row>
    <row r="56" spans="6:9" x14ac:dyDescent="0.2">
      <c r="I56" s="13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7">
    <pageSetUpPr fitToPage="1"/>
  </sheetPr>
  <dimension ref="A1:N127"/>
  <sheetViews>
    <sheetView showGridLines="0" view="pageLayout" topLeftCell="A34" zoomScale="130" zoomScaleNormal="100" zoomScaleSheetLayoutView="100" zoomScalePageLayoutView="130" workbookViewId="0">
      <selection activeCell="D56" sqref="D56"/>
    </sheetView>
  </sheetViews>
  <sheetFormatPr baseColWidth="10" defaultColWidth="10.85546875" defaultRowHeight="13.5" x14ac:dyDescent="0.2"/>
  <cols>
    <col min="1" max="1" width="3.140625" style="19" customWidth="1"/>
    <col min="2" max="2" width="31.28515625" style="20" customWidth="1"/>
    <col min="3" max="3" width="6.7109375" style="20" customWidth="1"/>
    <col min="4" max="5" width="6.7109375" style="19" customWidth="1"/>
    <col min="6" max="6" width="9.42578125" style="19" customWidth="1"/>
    <col min="7" max="7" width="6.5703125" style="19" customWidth="1"/>
    <col min="8" max="8" width="7.42578125" style="19" customWidth="1"/>
    <col min="9" max="9" width="3.28515625" style="19" customWidth="1"/>
    <col min="10" max="10" width="10.85546875" style="19"/>
    <col min="11" max="11" width="10.140625" style="19" customWidth="1"/>
    <col min="12" max="12" width="11.28515625" style="19" customWidth="1"/>
    <col min="13" max="13" width="13" style="19" customWidth="1"/>
    <col min="14" max="14" width="6.140625" style="19" customWidth="1"/>
    <col min="15" max="19" width="10.85546875" style="19"/>
    <col min="20" max="20" width="4.28515625" style="19" customWidth="1"/>
    <col min="21" max="16384" width="10.85546875" style="19"/>
  </cols>
  <sheetData>
    <row r="1" spans="1:14" ht="15.75" customHeight="1" x14ac:dyDescent="0.2">
      <c r="A1" s="26" t="s">
        <v>131</v>
      </c>
      <c r="B1" s="27"/>
      <c r="C1" s="28"/>
      <c r="D1" s="28"/>
      <c r="E1" s="29"/>
      <c r="F1" s="27"/>
      <c r="G1" s="30"/>
      <c r="H1" s="30"/>
      <c r="I1" s="30"/>
      <c r="J1" s="30"/>
      <c r="K1" s="30"/>
      <c r="L1" s="30"/>
      <c r="M1" s="30"/>
      <c r="N1" s="30"/>
    </row>
    <row r="2" spans="1:14" ht="12" customHeight="1" x14ac:dyDescent="0.2">
      <c r="A2" s="27"/>
      <c r="B2" s="26"/>
      <c r="C2" s="28"/>
      <c r="D2" s="28"/>
      <c r="E2" s="29"/>
      <c r="F2" s="27"/>
      <c r="G2" s="30"/>
      <c r="H2" s="30"/>
      <c r="I2" s="30"/>
      <c r="J2" s="30"/>
      <c r="K2" s="30"/>
      <c r="L2" s="30"/>
      <c r="M2" s="30"/>
      <c r="N2" s="30"/>
    </row>
    <row r="3" spans="1:14" ht="12.75" customHeight="1" x14ac:dyDescent="0.2">
      <c r="A3" s="31" t="s">
        <v>17</v>
      </c>
      <c r="B3" s="32" t="s">
        <v>42</v>
      </c>
      <c r="C3" s="28"/>
      <c r="D3" s="28"/>
      <c r="E3" s="29"/>
      <c r="F3" s="27"/>
      <c r="G3" s="30"/>
      <c r="H3" s="30"/>
      <c r="I3" s="30"/>
      <c r="J3" s="30"/>
      <c r="K3" s="30"/>
      <c r="L3" s="30"/>
      <c r="M3" s="30"/>
      <c r="N3" s="30"/>
    </row>
    <row r="4" spans="1:14" ht="5.25" customHeight="1" x14ac:dyDescent="0.2">
      <c r="A4" s="31"/>
      <c r="B4" s="32"/>
      <c r="C4" s="28"/>
      <c r="D4" s="28"/>
      <c r="E4" s="29"/>
      <c r="F4" s="27"/>
      <c r="G4" s="30"/>
      <c r="H4" s="30"/>
      <c r="I4" s="30"/>
      <c r="J4" s="30"/>
      <c r="K4" s="30"/>
      <c r="L4" s="30"/>
      <c r="M4" s="30"/>
      <c r="N4" s="30"/>
    </row>
    <row r="5" spans="1:14" ht="26.85" customHeight="1" x14ac:dyDescent="0.2">
      <c r="A5" s="27"/>
      <c r="B5" s="300" t="s">
        <v>43</v>
      </c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"/>
    </row>
    <row r="6" spans="1:14" ht="5.25" customHeight="1" x14ac:dyDescent="0.2">
      <c r="A6" s="27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0"/>
    </row>
    <row r="7" spans="1:14" ht="26.85" customHeight="1" x14ac:dyDescent="0.2">
      <c r="A7" s="27"/>
      <c r="B7" s="300" t="s">
        <v>116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"/>
    </row>
    <row r="8" spans="1:14" ht="5.25" customHeight="1" x14ac:dyDescent="0.2">
      <c r="A8" s="27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0"/>
    </row>
    <row r="9" spans="1:14" ht="12.75" customHeight="1" x14ac:dyDescent="0.2">
      <c r="A9" s="27"/>
      <c r="B9" s="300" t="s">
        <v>44</v>
      </c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"/>
    </row>
    <row r="10" spans="1:14" ht="12.75" customHeight="1" x14ac:dyDescent="0.2">
      <c r="A10" s="27"/>
      <c r="B10" s="33"/>
      <c r="C10" s="33"/>
      <c r="D10" s="33"/>
      <c r="E10" s="33"/>
      <c r="F10" s="33"/>
      <c r="G10" s="30"/>
      <c r="H10" s="30"/>
      <c r="I10" s="30"/>
      <c r="J10" s="30"/>
      <c r="K10" s="30"/>
      <c r="L10" s="30"/>
      <c r="M10" s="30"/>
      <c r="N10" s="30"/>
    </row>
    <row r="11" spans="1:14" ht="12.75" customHeight="1" x14ac:dyDescent="0.2">
      <c r="A11" s="32" t="s">
        <v>18</v>
      </c>
      <c r="B11" s="32" t="s">
        <v>49</v>
      </c>
      <c r="C11" s="28"/>
      <c r="D11" s="28"/>
      <c r="E11" s="29"/>
      <c r="F11" s="27"/>
      <c r="G11" s="30"/>
      <c r="H11" s="30"/>
      <c r="I11" s="34" t="s">
        <v>45</v>
      </c>
      <c r="J11" s="27"/>
      <c r="K11" s="30"/>
      <c r="L11" s="30"/>
      <c r="M11" s="30"/>
      <c r="N11" s="30"/>
    </row>
    <row r="12" spans="1:14" ht="5.25" customHeight="1" x14ac:dyDescent="0.2">
      <c r="A12" s="32"/>
      <c r="B12" s="32"/>
      <c r="C12" s="28"/>
      <c r="D12" s="28"/>
      <c r="E12" s="29"/>
      <c r="F12" s="27"/>
      <c r="G12" s="30"/>
      <c r="H12" s="30"/>
      <c r="I12" s="34"/>
      <c r="J12" s="27"/>
      <c r="K12" s="30"/>
      <c r="L12" s="30"/>
      <c r="M12" s="30"/>
      <c r="N12" s="30"/>
    </row>
    <row r="13" spans="1:14" ht="12.75" customHeight="1" x14ac:dyDescent="0.2">
      <c r="A13" s="27" t="s">
        <v>19</v>
      </c>
      <c r="B13" t="s">
        <v>46</v>
      </c>
      <c r="C13" s="28"/>
      <c r="D13" s="28"/>
      <c r="E13" s="29"/>
      <c r="F13" s="27"/>
      <c r="G13" s="30"/>
      <c r="H13" s="30"/>
      <c r="I13" s="35" t="s">
        <v>22</v>
      </c>
      <c r="J13" s="36" t="s">
        <v>111</v>
      </c>
      <c r="K13" s="30"/>
      <c r="L13" s="30"/>
      <c r="M13" s="30"/>
      <c r="N13" s="30"/>
    </row>
    <row r="14" spans="1:14" ht="12.75" customHeight="1" x14ac:dyDescent="0.2">
      <c r="A14" s="27" t="s">
        <v>20</v>
      </c>
      <c r="B14" t="s">
        <v>47</v>
      </c>
      <c r="C14" s="28"/>
      <c r="D14" s="28"/>
      <c r="E14" s="29"/>
      <c r="F14" s="27"/>
      <c r="G14" s="30"/>
      <c r="H14" s="30"/>
      <c r="I14" s="35" t="s">
        <v>23</v>
      </c>
      <c r="J14" s="37" t="s">
        <v>112</v>
      </c>
      <c r="K14" s="30"/>
      <c r="L14" s="30"/>
      <c r="M14" s="30"/>
      <c r="N14" s="30"/>
    </row>
    <row r="15" spans="1:14" ht="12.75" customHeight="1" x14ac:dyDescent="0.2">
      <c r="A15" s="27" t="s">
        <v>21</v>
      </c>
      <c r="B15" s="109" t="s">
        <v>48</v>
      </c>
      <c r="C15" s="28"/>
      <c r="D15" s="28"/>
      <c r="E15" s="29"/>
      <c r="F15" s="27"/>
      <c r="G15" s="30"/>
      <c r="H15" s="30"/>
      <c r="I15" s="35" t="s">
        <v>24</v>
      </c>
      <c r="J15" s="37" t="s">
        <v>113</v>
      </c>
      <c r="K15" s="30"/>
      <c r="L15" s="30"/>
      <c r="M15" s="30"/>
      <c r="N15" s="30"/>
    </row>
    <row r="16" spans="1:14" ht="12.75" customHeight="1" x14ac:dyDescent="0.2">
      <c r="A16" s="27"/>
      <c r="B16" s="27"/>
      <c r="C16" s="28"/>
      <c r="D16" s="28"/>
      <c r="E16" s="29"/>
      <c r="F16" s="27"/>
      <c r="G16" s="30"/>
      <c r="H16" s="30"/>
      <c r="I16" s="27"/>
      <c r="J16" s="37"/>
      <c r="K16" s="30"/>
      <c r="L16" s="30"/>
      <c r="M16" s="30"/>
      <c r="N16" s="30"/>
    </row>
    <row r="17" spans="1:14" ht="15.75" customHeight="1" x14ac:dyDescent="0.2">
      <c r="A17" s="32" t="s">
        <v>25</v>
      </c>
      <c r="B17" s="32" t="s">
        <v>50</v>
      </c>
      <c r="C17" s="38"/>
      <c r="D17" s="30"/>
      <c r="E17" s="30"/>
      <c r="F17" s="30"/>
      <c r="G17" s="30"/>
      <c r="H17" s="30"/>
      <c r="I17" s="66" t="s">
        <v>54</v>
      </c>
      <c r="K17" s="30"/>
      <c r="L17" s="30"/>
      <c r="M17" s="30"/>
      <c r="N17" s="30"/>
    </row>
    <row r="18" spans="1:14" ht="5.25" customHeight="1" x14ac:dyDescent="0.2">
      <c r="A18" s="30"/>
      <c r="B18" s="38"/>
      <c r="C18" s="38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ht="14.1" customHeight="1" x14ac:dyDescent="0.2">
      <c r="A19" s="30"/>
      <c r="B19" s="67" t="s">
        <v>51</v>
      </c>
      <c r="C19" s="68"/>
      <c r="D19" s="69"/>
      <c r="E19" s="70"/>
      <c r="F19" s="69"/>
      <c r="G19" s="71"/>
      <c r="H19" s="30"/>
      <c r="I19" s="30"/>
      <c r="J19" s="30"/>
      <c r="K19" s="30"/>
      <c r="L19" s="30"/>
      <c r="M19" s="30"/>
      <c r="N19" s="30"/>
    </row>
    <row r="20" spans="1:14" ht="14.1" customHeight="1" x14ac:dyDescent="0.2">
      <c r="A20" s="40"/>
      <c r="B20" s="85" t="s">
        <v>52</v>
      </c>
      <c r="C20" s="324" t="s">
        <v>53</v>
      </c>
      <c r="D20" s="325"/>
      <c r="E20" s="320" t="s">
        <v>85</v>
      </c>
      <c r="F20" s="320"/>
      <c r="G20" s="320"/>
      <c r="H20" s="63"/>
      <c r="I20" s="63"/>
      <c r="J20" s="63"/>
      <c r="K20" s="63"/>
      <c r="L20" s="63"/>
      <c r="M20" s="63"/>
      <c r="N20" s="30"/>
    </row>
    <row r="21" spans="1:14" ht="14.1" customHeight="1" x14ac:dyDescent="0.2">
      <c r="A21" s="40"/>
      <c r="B21" s="87" t="s">
        <v>117</v>
      </c>
      <c r="C21" s="326"/>
      <c r="D21" s="327"/>
      <c r="E21" s="316" t="s">
        <v>101</v>
      </c>
      <c r="F21" s="317"/>
      <c r="G21" s="318"/>
      <c r="H21" s="63"/>
      <c r="I21" s="63"/>
      <c r="J21" s="63"/>
      <c r="K21" s="63"/>
      <c r="L21" s="63"/>
      <c r="M21" s="63"/>
      <c r="N21" s="30"/>
    </row>
    <row r="22" spans="1:14" ht="14.1" customHeight="1" x14ac:dyDescent="0.2">
      <c r="A22" s="40"/>
      <c r="B22" s="321" t="s">
        <v>118</v>
      </c>
      <c r="C22" s="322"/>
      <c r="D22" s="322"/>
      <c r="E22" s="322"/>
      <c r="F22" s="322"/>
      <c r="G22" s="323"/>
      <c r="H22" s="64"/>
      <c r="I22" s="64"/>
      <c r="J22" s="64"/>
      <c r="K22" s="64"/>
      <c r="L22" s="64"/>
      <c r="M22" s="64"/>
      <c r="N22" s="30"/>
    </row>
    <row r="23" spans="1:14" ht="14.1" customHeight="1" x14ac:dyDescent="0.2">
      <c r="A23" s="40"/>
      <c r="B23" s="85" t="s">
        <v>57</v>
      </c>
      <c r="C23" s="41"/>
      <c r="D23" s="40"/>
      <c r="E23" s="320" t="s">
        <v>88</v>
      </c>
      <c r="F23" s="320"/>
      <c r="G23" s="320"/>
      <c r="H23" s="64"/>
      <c r="I23" s="64"/>
      <c r="J23" s="64"/>
      <c r="K23" s="64"/>
      <c r="L23" s="64"/>
      <c r="M23" s="64"/>
      <c r="N23" s="30"/>
    </row>
    <row r="24" spans="1:14" ht="14.1" customHeight="1" x14ac:dyDescent="0.2">
      <c r="A24" s="40"/>
      <c r="B24" s="86" t="s">
        <v>58</v>
      </c>
      <c r="C24" s="55"/>
      <c r="D24" s="43"/>
      <c r="E24" s="320" t="s">
        <v>88</v>
      </c>
      <c r="F24" s="320"/>
      <c r="G24" s="320"/>
      <c r="H24" s="64"/>
      <c r="I24" s="64"/>
      <c r="J24" s="64"/>
      <c r="K24" s="64"/>
      <c r="L24" s="64"/>
      <c r="M24" s="64"/>
      <c r="N24" s="30"/>
    </row>
    <row r="25" spans="1:14" ht="14.1" customHeight="1" x14ac:dyDescent="0.2">
      <c r="A25" s="40"/>
      <c r="B25" s="67" t="s">
        <v>55</v>
      </c>
      <c r="C25" s="72"/>
      <c r="D25" s="73"/>
      <c r="E25" s="74"/>
      <c r="F25" s="74"/>
      <c r="G25" s="75"/>
      <c r="H25" s="63"/>
      <c r="I25" s="63"/>
      <c r="J25" s="63"/>
      <c r="K25" s="63"/>
      <c r="L25" s="63"/>
      <c r="M25" s="63"/>
      <c r="N25" s="30"/>
    </row>
    <row r="26" spans="1:14" ht="14.1" customHeight="1" x14ac:dyDescent="0.2">
      <c r="A26" s="40"/>
      <c r="B26" s="85" t="s">
        <v>57</v>
      </c>
      <c r="C26" s="41"/>
      <c r="D26" s="40"/>
      <c r="E26" s="320" t="s">
        <v>91</v>
      </c>
      <c r="F26" s="320"/>
      <c r="G26" s="320"/>
      <c r="H26" s="63"/>
      <c r="I26" s="63"/>
      <c r="J26" s="63"/>
      <c r="K26" s="63"/>
      <c r="L26" s="63"/>
      <c r="M26" s="63"/>
      <c r="N26" s="30"/>
    </row>
    <row r="27" spans="1:14" ht="14.1" customHeight="1" x14ac:dyDescent="0.2">
      <c r="A27" s="40"/>
      <c r="B27" s="86" t="s">
        <v>58</v>
      </c>
      <c r="C27" s="55"/>
      <c r="D27" s="43"/>
      <c r="E27" s="320" t="s">
        <v>91</v>
      </c>
      <c r="F27" s="320"/>
      <c r="G27" s="320"/>
      <c r="H27" s="63"/>
      <c r="I27" s="63"/>
      <c r="J27" s="63"/>
      <c r="K27" s="63"/>
      <c r="L27" s="63"/>
      <c r="M27" s="63"/>
      <c r="N27" s="30"/>
    </row>
    <row r="28" spans="1:14" ht="14.1" customHeight="1" x14ac:dyDescent="0.2">
      <c r="A28" s="40"/>
      <c r="B28" s="67" t="s">
        <v>119</v>
      </c>
      <c r="C28" s="72"/>
      <c r="D28" s="73"/>
      <c r="E28" s="74"/>
      <c r="F28" s="74"/>
      <c r="G28" s="75"/>
      <c r="H28" s="63"/>
      <c r="I28" s="63"/>
      <c r="J28" s="63"/>
      <c r="K28" s="63"/>
      <c r="L28" s="63"/>
      <c r="M28" s="63"/>
      <c r="N28" s="30"/>
    </row>
    <row r="29" spans="1:14" ht="14.1" customHeight="1" x14ac:dyDescent="0.2">
      <c r="A29" s="40"/>
      <c r="B29" s="85" t="s">
        <v>57</v>
      </c>
      <c r="C29" s="41"/>
      <c r="D29" s="40"/>
      <c r="E29" s="316" t="s">
        <v>120</v>
      </c>
      <c r="F29" s="317"/>
      <c r="G29" s="318"/>
      <c r="H29" s="64"/>
      <c r="I29" s="64"/>
      <c r="J29" s="64"/>
      <c r="K29" s="64"/>
      <c r="L29" s="64"/>
      <c r="M29" s="64"/>
      <c r="N29" s="30"/>
    </row>
    <row r="30" spans="1:14" ht="14.1" customHeight="1" x14ac:dyDescent="0.2">
      <c r="A30" s="40"/>
      <c r="B30" s="86" t="s">
        <v>58</v>
      </c>
      <c r="C30" s="55"/>
      <c r="D30" s="43"/>
      <c r="E30" s="320" t="s">
        <v>120</v>
      </c>
      <c r="F30" s="320"/>
      <c r="G30" s="320"/>
      <c r="H30" s="64"/>
      <c r="I30" s="64"/>
      <c r="J30" s="64"/>
      <c r="K30" s="64"/>
      <c r="L30" s="64"/>
      <c r="M30" s="64"/>
      <c r="N30" s="30"/>
    </row>
    <row r="31" spans="1:14" ht="14.1" customHeight="1" x14ac:dyDescent="0.2">
      <c r="A31" s="40"/>
      <c r="B31" s="39"/>
      <c r="C31" s="41"/>
      <c r="D31" s="40"/>
      <c r="E31" s="64"/>
      <c r="F31" s="64"/>
      <c r="G31" s="64"/>
      <c r="H31" s="64"/>
      <c r="I31" s="64"/>
      <c r="J31" s="64"/>
      <c r="K31" s="64"/>
      <c r="L31" s="64"/>
      <c r="M31" s="64"/>
      <c r="N31" s="30"/>
    </row>
    <row r="32" spans="1:14" ht="14.1" customHeight="1" x14ac:dyDescent="0.2">
      <c r="A32" s="40"/>
      <c r="B32" s="67" t="s">
        <v>56</v>
      </c>
      <c r="C32" s="72"/>
      <c r="D32" s="73"/>
      <c r="E32" s="76"/>
      <c r="F32" s="76"/>
      <c r="G32" s="76"/>
      <c r="H32" s="76"/>
      <c r="I32" s="76"/>
      <c r="J32" s="77"/>
      <c r="K32" s="307" t="s">
        <v>59</v>
      </c>
      <c r="L32" s="308"/>
      <c r="M32" s="308"/>
      <c r="N32" s="309"/>
    </row>
    <row r="33" spans="1:14" ht="14.1" customHeight="1" x14ac:dyDescent="0.2">
      <c r="A33" s="40"/>
      <c r="B33" s="85" t="s">
        <v>57</v>
      </c>
      <c r="C33" s="41"/>
      <c r="D33" s="40"/>
      <c r="E33" s="330" t="str">
        <f>IF($E$21=$B$110, $B$106,IF(OR($E$20=$B$83, $E$20=$B$84),$B$106,IF($E26=$B$98, $B$106,IF($E29=$B$101, $B$106,IF(AND(OR($E$20=$B$85,$E$20=$B$86, $E$20=$B$87,$E$20=$B$88), $E26=$B$96),$B$103, IF(AND(OR($E$20=$B$85,$E$20=$B$86, $E$20=$B$87,$E$20=$B$88), $E26=$B$97), $B$104,$B$103))))))</f>
        <v>Zulässig*</v>
      </c>
      <c r="F33" s="330"/>
      <c r="G33" s="330"/>
      <c r="H33" s="330"/>
      <c r="I33" s="330"/>
      <c r="J33" s="330"/>
      <c r="K33" s="310"/>
      <c r="L33" s="311"/>
      <c r="M33" s="311"/>
      <c r="N33" s="312"/>
    </row>
    <row r="34" spans="1:14" ht="14.1" customHeight="1" x14ac:dyDescent="0.2">
      <c r="A34" s="40"/>
      <c r="B34" s="86" t="s">
        <v>58</v>
      </c>
      <c r="C34" s="55"/>
      <c r="D34" s="43"/>
      <c r="E34" s="330" t="str">
        <f>IF(OR($E$20=$B$83,$E$20=$B$84,$E$20=$B$85,$E$21=$B$110),$B$106,IF($E27=$B$98,$B$106,IF($E30=$B$101,$B$106,IF(OR($E$24=$B$92,$E$24=$B$93,$E$24=$B$94),$B$106,IF(AND(OR($E$20=$B$85,$E$20=$B$86,$E$20=$B$87,$E$20=$B$88),$E27=$B$96),$B$103,IF(AND(OR($E$20=$B$85,$E$20=$B$86,$E$20=$B$87,$E$20=$B$88),$E27=$B$97),$B$104,$B$103))))))</f>
        <v>Zulässig*</v>
      </c>
      <c r="F34" s="330"/>
      <c r="G34" s="330"/>
      <c r="H34" s="330"/>
      <c r="I34" s="330"/>
      <c r="J34" s="330"/>
      <c r="K34" s="313"/>
      <c r="L34" s="314"/>
      <c r="M34" s="314"/>
      <c r="N34" s="315"/>
    </row>
    <row r="35" spans="1:14" ht="9" customHeight="1" x14ac:dyDescent="0.2">
      <c r="A35" s="40"/>
      <c r="B35" s="84"/>
      <c r="C35" s="41"/>
      <c r="D35" s="40"/>
      <c r="E35" s="81"/>
      <c r="F35" s="59"/>
      <c r="G35" s="59"/>
      <c r="H35" s="59"/>
      <c r="I35" s="59"/>
      <c r="J35" s="59"/>
      <c r="K35" s="78"/>
      <c r="L35" s="78"/>
      <c r="M35" s="78"/>
      <c r="N35" s="78"/>
    </row>
    <row r="36" spans="1:14" s="83" customFormat="1" ht="13.7" customHeight="1" x14ac:dyDescent="0.25">
      <c r="A36" s="79"/>
      <c r="B36" s="80"/>
      <c r="C36" s="80"/>
      <c r="D36" s="79"/>
      <c r="E36" s="81" t="str">
        <f>IF(OR(E33=B103,E33=B104), B108,"")</f>
        <v>* Unter vorbehalt eines Entscheids der Raumplanungs, Umwelt und Baudirektion (RUBD)</v>
      </c>
      <c r="F36" s="81"/>
      <c r="G36" s="81"/>
      <c r="H36" s="81"/>
      <c r="I36" s="81"/>
      <c r="J36" s="81"/>
      <c r="K36" s="81"/>
      <c r="L36" s="81"/>
      <c r="M36" s="79"/>
      <c r="N36" s="82"/>
    </row>
    <row r="37" spans="1:14" ht="15.75" customHeight="1" x14ac:dyDescent="0.2">
      <c r="A37" s="45" t="s">
        <v>36</v>
      </c>
      <c r="B37" s="111" t="s">
        <v>114</v>
      </c>
      <c r="F37" s="112"/>
      <c r="G37" s="112"/>
      <c r="H37" s="336" t="s">
        <v>132</v>
      </c>
      <c r="I37" s="337"/>
      <c r="J37" s="338" t="s">
        <v>135</v>
      </c>
      <c r="K37" s="339"/>
      <c r="L37" s="113"/>
      <c r="M37" s="30"/>
      <c r="N37" s="30"/>
    </row>
    <row r="38" spans="1:14" ht="6" customHeight="1" x14ac:dyDescent="0.2">
      <c r="A38" s="30"/>
      <c r="B38" s="38"/>
      <c r="C38" s="38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4" ht="16.5" customHeight="1" x14ac:dyDescent="0.2">
      <c r="A39" s="304" t="s">
        <v>128</v>
      </c>
      <c r="B39" s="305"/>
      <c r="C39" s="305"/>
      <c r="D39" s="305"/>
      <c r="E39" s="305"/>
      <c r="F39" s="306"/>
      <c r="G39" s="46"/>
    </row>
    <row r="40" spans="1:14" ht="16.5" customHeight="1" x14ac:dyDescent="0.2">
      <c r="A40" s="88" t="s">
        <v>27</v>
      </c>
      <c r="B40" s="319" t="s">
        <v>60</v>
      </c>
      <c r="C40" s="319"/>
      <c r="D40" s="99" t="s">
        <v>133</v>
      </c>
      <c r="E40" s="140">
        <f>'Abflussbeiwert Parzelle'!D41/10000</f>
        <v>0</v>
      </c>
      <c r="F40" s="100" t="s">
        <v>0</v>
      </c>
      <c r="G40" s="40"/>
      <c r="H40" s="25"/>
      <c r="I40" s="47" t="s">
        <v>37</v>
      </c>
      <c r="J40" s="40" t="s">
        <v>63</v>
      </c>
      <c r="K40" s="30"/>
      <c r="L40" s="30"/>
      <c r="M40" s="30"/>
      <c r="N40" s="30"/>
    </row>
    <row r="41" spans="1:14" ht="16.5" customHeight="1" x14ac:dyDescent="0.2">
      <c r="A41" s="89" t="s">
        <v>27</v>
      </c>
      <c r="B41" s="319" t="s">
        <v>61</v>
      </c>
      <c r="C41" s="319"/>
      <c r="D41" s="99" t="s">
        <v>134</v>
      </c>
      <c r="E41" s="140">
        <f>liste!C57/10000</f>
        <v>0</v>
      </c>
      <c r="F41" s="100" t="s">
        <v>0</v>
      </c>
      <c r="G41" s="40"/>
      <c r="H41" s="30"/>
      <c r="I41" s="30"/>
      <c r="J41" s="30"/>
      <c r="K41" s="30"/>
      <c r="L41" s="30"/>
      <c r="M41" s="30"/>
      <c r="N41" s="30"/>
    </row>
    <row r="42" spans="1:14" ht="16.5" customHeight="1" x14ac:dyDescent="0.25">
      <c r="A42" s="90" t="s">
        <v>27</v>
      </c>
      <c r="B42" s="328" t="s">
        <v>62</v>
      </c>
      <c r="C42" s="328"/>
      <c r="D42" s="101" t="s">
        <v>12</v>
      </c>
      <c r="E42" s="145">
        <f>IF(E41=0,0,E41/E40)</f>
        <v>0</v>
      </c>
      <c r="F42" s="102" t="s">
        <v>1</v>
      </c>
      <c r="G42" s="40"/>
      <c r="H42" s="48" t="s">
        <v>64</v>
      </c>
      <c r="I42" s="49"/>
      <c r="J42" s="49"/>
      <c r="K42" s="50" t="s">
        <v>65</v>
      </c>
      <c r="L42" s="30"/>
      <c r="M42" s="30"/>
      <c r="N42" s="30"/>
    </row>
    <row r="43" spans="1:14" ht="7.5" customHeight="1" x14ac:dyDescent="0.2">
      <c r="A43" s="40"/>
      <c r="B43" s="41"/>
      <c r="C43" s="41"/>
      <c r="D43" s="40"/>
      <c r="E43" s="40"/>
      <c r="F43" s="40"/>
      <c r="G43" s="40"/>
      <c r="H43" s="30"/>
      <c r="I43" s="30"/>
      <c r="J43" s="30"/>
      <c r="K43" s="30"/>
      <c r="L43" s="30"/>
      <c r="M43" s="30"/>
      <c r="N43" s="30"/>
    </row>
    <row r="44" spans="1:14" ht="16.5" customHeight="1" x14ac:dyDescent="0.2">
      <c r="A44" s="304" t="s">
        <v>68</v>
      </c>
      <c r="B44" s="305"/>
      <c r="C44" s="305"/>
      <c r="D44" s="305"/>
      <c r="E44" s="305"/>
      <c r="F44" s="306"/>
      <c r="G44" s="46"/>
      <c r="H44" s="30"/>
      <c r="I44" s="30"/>
      <c r="J44" s="30"/>
      <c r="K44" s="30"/>
      <c r="L44" s="30"/>
      <c r="M44" s="30"/>
      <c r="N44" s="30"/>
    </row>
    <row r="45" spans="1:14" ht="16.5" customHeight="1" x14ac:dyDescent="0.2">
      <c r="A45" s="89" t="s">
        <v>28</v>
      </c>
      <c r="B45" s="91" t="s">
        <v>66</v>
      </c>
      <c r="C45" s="91"/>
      <c r="D45" s="48"/>
      <c r="E45" s="303" t="s">
        <v>106</v>
      </c>
      <c r="F45" s="303"/>
      <c r="G45" s="42"/>
      <c r="H45" s="52"/>
      <c r="I45" s="30"/>
      <c r="J45" s="30"/>
      <c r="K45" s="30"/>
      <c r="L45" s="30"/>
      <c r="M45" s="30"/>
      <c r="N45" s="30"/>
    </row>
    <row r="46" spans="1:14" ht="16.5" customHeight="1" x14ac:dyDescent="0.2">
      <c r="A46" s="90" t="s">
        <v>29</v>
      </c>
      <c r="B46" s="340" t="s">
        <v>67</v>
      </c>
      <c r="C46" s="340"/>
      <c r="D46" s="103"/>
      <c r="E46" s="301" t="s">
        <v>171</v>
      </c>
      <c r="F46" s="302"/>
      <c r="G46" s="42"/>
      <c r="H46" s="52"/>
      <c r="I46" s="30"/>
      <c r="J46" s="30"/>
      <c r="K46" s="30"/>
      <c r="L46" s="30"/>
      <c r="M46" s="30"/>
      <c r="N46" s="30"/>
    </row>
    <row r="47" spans="1:14" ht="7.5" customHeight="1" x14ac:dyDescent="0.2">
      <c r="A47" s="40"/>
      <c r="B47" s="41"/>
      <c r="C47" s="41"/>
      <c r="D47" s="40"/>
      <c r="E47" s="42"/>
      <c r="F47" s="42"/>
      <c r="G47" s="42"/>
      <c r="H47" s="52"/>
      <c r="I47" s="30"/>
      <c r="J47" s="30"/>
      <c r="K47" s="30"/>
      <c r="L47" s="30"/>
      <c r="M47" s="30"/>
      <c r="N47" s="30"/>
    </row>
    <row r="48" spans="1:14" ht="16.5" customHeight="1" x14ac:dyDescent="0.2">
      <c r="A48" s="333" t="s">
        <v>69</v>
      </c>
      <c r="B48" s="334"/>
      <c r="C48" s="305"/>
      <c r="D48" s="305"/>
      <c r="E48" s="305"/>
      <c r="F48" s="306"/>
      <c r="G48" s="46"/>
      <c r="H48" s="54"/>
      <c r="I48" s="30"/>
      <c r="J48" s="30"/>
      <c r="K48" s="30"/>
      <c r="L48" s="30"/>
      <c r="M48" s="30"/>
      <c r="N48" s="30"/>
    </row>
    <row r="49" spans="1:14" ht="16.5" customHeight="1" x14ac:dyDescent="0.2">
      <c r="A49" s="89" t="s">
        <v>30</v>
      </c>
      <c r="B49" s="48" t="s">
        <v>70</v>
      </c>
      <c r="C49" s="344" t="s">
        <v>110</v>
      </c>
      <c r="D49" s="345"/>
      <c r="E49" s="345"/>
      <c r="F49" s="346"/>
      <c r="G49" s="42"/>
      <c r="H49" s="30"/>
      <c r="I49" s="30"/>
      <c r="J49" s="30"/>
      <c r="K49" s="30"/>
      <c r="L49" s="30"/>
      <c r="M49" s="30"/>
      <c r="N49" s="30"/>
    </row>
    <row r="50" spans="1:14" ht="16.5" customHeight="1" x14ac:dyDescent="0.2">
      <c r="A50" s="89" t="s">
        <v>31</v>
      </c>
      <c r="B50" s="48" t="s">
        <v>71</v>
      </c>
      <c r="C50" s="188">
        <f>liste!C58</f>
        <v>0</v>
      </c>
      <c r="D50" s="142" t="str">
        <f>IF(C49=liste!B2,liste!D2,IF(C49=liste!B3,liste!D3,IF(C49=liste!B4,liste!D4,IF(C49=liste!B5,liste!D5))))</f>
        <v>[-]</v>
      </c>
      <c r="E50" s="142"/>
      <c r="F50" s="143"/>
      <c r="G50" s="40"/>
      <c r="H50" s="30"/>
      <c r="I50" s="30"/>
      <c r="J50" s="30"/>
      <c r="K50" s="30"/>
      <c r="L50" s="30"/>
      <c r="M50" s="30"/>
      <c r="N50" s="30"/>
    </row>
    <row r="51" spans="1:14" ht="16.5" customHeight="1" x14ac:dyDescent="0.2">
      <c r="A51" s="89" t="s">
        <v>32</v>
      </c>
      <c r="B51" s="48" t="s">
        <v>72</v>
      </c>
      <c r="C51" s="153">
        <v>0.65</v>
      </c>
      <c r="D51" s="48" t="s">
        <v>1</v>
      </c>
      <c r="E51" s="48"/>
      <c r="F51" s="100"/>
      <c r="G51" s="40"/>
      <c r="H51" s="30"/>
      <c r="I51" s="30"/>
      <c r="J51" s="30"/>
      <c r="K51" s="30"/>
      <c r="L51" s="30"/>
      <c r="M51" s="30"/>
      <c r="N51" s="30"/>
    </row>
    <row r="52" spans="1:14" ht="7.5" customHeight="1" x14ac:dyDescent="0.2">
      <c r="A52" s="89"/>
      <c r="B52" s="91"/>
      <c r="C52" s="91"/>
      <c r="D52" s="48"/>
      <c r="E52" s="104"/>
      <c r="F52" s="105"/>
      <c r="G52" s="42"/>
      <c r="H52" s="52"/>
      <c r="I52" s="30"/>
      <c r="J52" s="30"/>
      <c r="K52" s="30"/>
      <c r="L52" s="30"/>
      <c r="M52" s="30"/>
      <c r="N52" s="30"/>
    </row>
    <row r="53" spans="1:14" ht="16.5" customHeight="1" x14ac:dyDescent="0.2">
      <c r="A53" s="89"/>
      <c r="B53" s="91"/>
      <c r="C53" s="48"/>
      <c r="D53" s="104" t="s">
        <v>26</v>
      </c>
      <c r="E53" s="104" t="s">
        <v>129</v>
      </c>
      <c r="F53" s="105"/>
      <c r="G53" s="42"/>
      <c r="H53" s="30"/>
      <c r="I53" s="30"/>
      <c r="J53" s="30"/>
      <c r="K53" s="30"/>
      <c r="L53" s="30"/>
      <c r="M53" s="30"/>
      <c r="N53" s="30"/>
    </row>
    <row r="54" spans="1:14" ht="16.5" customHeight="1" x14ac:dyDescent="0.2">
      <c r="A54" s="89" t="s">
        <v>33</v>
      </c>
      <c r="B54" s="91" t="s">
        <v>73</v>
      </c>
      <c r="C54" s="106" t="s">
        <v>38</v>
      </c>
      <c r="D54" s="146">
        <f>D56*E41</f>
        <v>0</v>
      </c>
      <c r="E54" s="146">
        <f>D54*C51</f>
        <v>0</v>
      </c>
      <c r="F54" s="100" t="s">
        <v>8</v>
      </c>
      <c r="G54" s="40"/>
      <c r="H54" s="30"/>
      <c r="I54" s="30"/>
      <c r="J54" s="30"/>
      <c r="K54" s="30"/>
      <c r="L54" s="30"/>
      <c r="M54" s="30"/>
      <c r="N54" s="30"/>
    </row>
    <row r="55" spans="1:14" ht="16.5" hidden="1" customHeight="1" x14ac:dyDescent="0.2">
      <c r="A55" s="89" t="s">
        <v>35</v>
      </c>
      <c r="B55" s="91" t="s">
        <v>13</v>
      </c>
      <c r="C55" s="106" t="s">
        <v>39</v>
      </c>
      <c r="D55" s="146" t="e">
        <f>D54/E40</f>
        <v>#DIV/0!</v>
      </c>
      <c r="E55" s="146" t="e">
        <f>D55*C51</f>
        <v>#DIV/0!</v>
      </c>
      <c r="F55" s="100" t="s">
        <v>14</v>
      </c>
      <c r="G55" s="40"/>
      <c r="H55" s="30"/>
      <c r="I55" s="30"/>
      <c r="J55" s="30"/>
      <c r="K55" s="30"/>
      <c r="L55" s="30"/>
      <c r="M55" s="30"/>
      <c r="N55" s="30"/>
    </row>
    <row r="56" spans="1:14" ht="16.5" customHeight="1" x14ac:dyDescent="0.2">
      <c r="A56" s="90" t="s">
        <v>34</v>
      </c>
      <c r="B56" s="110" t="s">
        <v>74</v>
      </c>
      <c r="C56" s="107" t="s">
        <v>39</v>
      </c>
      <c r="D56" s="162">
        <f>IF(E41=0,0,'B2'!B23)</f>
        <v>0</v>
      </c>
      <c r="E56" s="162">
        <f>D56*C51</f>
        <v>0</v>
      </c>
      <c r="F56" s="102" t="s">
        <v>121</v>
      </c>
      <c r="G56" s="40"/>
      <c r="H56" s="30"/>
      <c r="I56" s="30"/>
      <c r="J56" s="30"/>
      <c r="K56" s="30"/>
      <c r="L56" s="30"/>
      <c r="M56" s="30"/>
      <c r="N56" s="30"/>
    </row>
    <row r="57" spans="1:14" ht="7.5" customHeight="1" x14ac:dyDescent="0.2">
      <c r="A57" s="40"/>
      <c r="B57" s="41"/>
      <c r="C57" s="41"/>
      <c r="D57" s="40"/>
      <c r="E57" s="40"/>
      <c r="F57" s="40"/>
      <c r="G57" s="40"/>
      <c r="H57" s="30"/>
      <c r="I57" s="30"/>
      <c r="J57" s="30"/>
      <c r="K57" s="30"/>
      <c r="L57" s="30"/>
      <c r="M57" s="30"/>
      <c r="N57" s="30"/>
    </row>
    <row r="58" spans="1:14" ht="17.45" customHeight="1" x14ac:dyDescent="0.2">
      <c r="A58" s="333" t="s">
        <v>75</v>
      </c>
      <c r="B58" s="334"/>
      <c r="C58" s="334"/>
      <c r="D58" s="334"/>
      <c r="E58" s="334"/>
      <c r="F58" s="335"/>
      <c r="G58" s="46"/>
      <c r="H58" s="54"/>
      <c r="I58" s="30"/>
      <c r="J58" s="30"/>
      <c r="K58" s="30"/>
      <c r="L58" s="30"/>
      <c r="M58" s="30"/>
      <c r="N58" s="30"/>
    </row>
    <row r="59" spans="1:14" ht="16.5" customHeight="1" thickBot="1" x14ac:dyDescent="0.25">
      <c r="A59" s="51"/>
      <c r="B59" s="331" t="s">
        <v>76</v>
      </c>
      <c r="C59" s="331"/>
      <c r="D59" s="56"/>
      <c r="E59" s="147">
        <f>'B2'!B28</f>
        <v>0</v>
      </c>
      <c r="F59" s="100" t="s">
        <v>40</v>
      </c>
      <c r="G59" s="40"/>
      <c r="H59" s="30"/>
      <c r="I59" s="58"/>
      <c r="J59" s="58"/>
      <c r="K59" s="58"/>
      <c r="L59" s="58"/>
      <c r="M59" s="30"/>
      <c r="N59" s="30"/>
    </row>
    <row r="60" spans="1:14" ht="28.35" hidden="1" customHeight="1" x14ac:dyDescent="0.2">
      <c r="A60" s="51"/>
      <c r="B60" s="41" t="s">
        <v>2</v>
      </c>
      <c r="C60" s="41"/>
      <c r="D60" s="40"/>
      <c r="E60" s="148"/>
      <c r="F60" s="105"/>
      <c r="G60" s="42"/>
      <c r="H60" s="52"/>
      <c r="I60" s="30"/>
      <c r="J60" s="30"/>
      <c r="K60" s="30"/>
      <c r="L60" s="30"/>
      <c r="M60" s="30"/>
      <c r="N60" s="30"/>
    </row>
    <row r="61" spans="1:14" ht="28.35" hidden="1" customHeight="1" x14ac:dyDescent="0.2">
      <c r="A61" s="51"/>
      <c r="B61" s="41" t="s">
        <v>9</v>
      </c>
      <c r="C61" s="41"/>
      <c r="D61" s="57" t="e">
        <f>IF(AND(5&lt;=#REF!,#REF!&lt;10),-4.2*#REF!+201,IF(AND(10&lt;=#REF!,#REF!&lt;20),-2.8*#REF!+187,IF(AND(20&lt;=#REF!,#REF!&lt;30),-2*#REF!+171,IF(AND(30&lt;=#REF!,#REF!&lt;40),-1.7*#REF!+162,IF(AND(40&lt;=#REF!,#REF!&lt;50),-1.3*#REF!+146,IF(AND(50&lt;=#REF!,#REF!&lt;60),-#REF!+131,IF(AND(60&lt;=#REF!,#REF!&lt;70),-0.9*#REF!+125,"")))))))</f>
        <v>#REF!</v>
      </c>
      <c r="E61" s="48"/>
      <c r="F61" s="105"/>
      <c r="G61" s="42"/>
      <c r="H61" s="52"/>
      <c r="I61" s="30"/>
      <c r="J61" s="30"/>
      <c r="K61" s="30"/>
      <c r="L61" s="30"/>
      <c r="M61" s="30"/>
      <c r="N61" s="30"/>
    </row>
    <row r="62" spans="1:14" ht="28.35" hidden="1" customHeight="1" x14ac:dyDescent="0.2">
      <c r="A62" s="51"/>
      <c r="B62" s="41" t="s">
        <v>6</v>
      </c>
      <c r="C62" s="41"/>
      <c r="D62" s="42"/>
      <c r="E62" s="48"/>
      <c r="F62" s="100"/>
      <c r="G62" s="40"/>
      <c r="H62" s="30"/>
      <c r="I62" s="30"/>
      <c r="J62" s="30"/>
      <c r="K62" s="30"/>
      <c r="L62" s="30"/>
      <c r="M62" s="30"/>
      <c r="N62" s="30"/>
    </row>
    <row r="63" spans="1:14" ht="28.35" hidden="1" customHeight="1" x14ac:dyDescent="0.2">
      <c r="A63" s="51"/>
      <c r="B63" s="41" t="s">
        <v>9</v>
      </c>
      <c r="C63" s="41"/>
      <c r="D63" s="57" t="e">
        <f>IF(AND(5&lt;=#REF!,#REF!&lt;10),-4.8*#REF!+247,IF(AND(10&lt;=#REF!,#REF!&lt;20),-3.2*#REF!+231,IF(AND(20&lt;=#REF!,#REF!&lt;30),-2.3*#REF!+213,IF(AND(30&lt;=#REF!,#REF!&lt;40),-1.7*#REF!+195,IF(AND(40&lt;=#REF!,#REF!&lt;50),-1.5*#REF!+187,IF(AND(50&lt;=#REF!,#REF!&lt;60),-1.2*#REF!+172,IF(AND(60&lt;=#REF!,#REF!&lt;70),-1.2*#REF!+171,"")))))))</f>
        <v>#REF!</v>
      </c>
      <c r="E63" s="48"/>
      <c r="F63" s="100"/>
      <c r="G63" s="40"/>
      <c r="H63" s="30"/>
      <c r="I63" s="30"/>
      <c r="J63" s="30"/>
      <c r="K63" s="30"/>
      <c r="L63" s="30"/>
      <c r="M63" s="30"/>
      <c r="N63" s="30"/>
    </row>
    <row r="64" spans="1:14" ht="28.35" hidden="1" customHeight="1" x14ac:dyDescent="0.2">
      <c r="A64" s="51"/>
      <c r="B64" s="41" t="s">
        <v>7</v>
      </c>
      <c r="C64" s="41"/>
      <c r="D64" s="42"/>
      <c r="E64" s="48"/>
      <c r="F64" s="105"/>
      <c r="G64" s="42"/>
      <c r="H64" s="52"/>
      <c r="I64" s="30"/>
      <c r="J64" s="30"/>
      <c r="K64" s="30"/>
      <c r="L64" s="30"/>
      <c r="M64" s="30"/>
      <c r="N64" s="30"/>
    </row>
    <row r="65" spans="1:14" ht="28.35" hidden="1" customHeight="1" x14ac:dyDescent="0.2">
      <c r="A65" s="51"/>
      <c r="B65" s="41" t="s">
        <v>9</v>
      </c>
      <c r="C65" s="41"/>
      <c r="D65" s="57" t="e">
        <f>IF(AND(5&lt;=#REF!,#REF!&lt;10),-4.5*#REF!+224,IF(AND(10&lt;=#REF!,#REF!&lt;20),-3*#REF!+209,IF(AND(20&lt;=#REF!,#REF!&lt;30),-2.15*#REF!+192,IF(AND(30&lt;=#REF!,#REF!&lt;40),-1.7*#REF!+178.5,IF(AND(40&lt;=#REF!,#REF!&lt;50),-1.4*#REF!+166.5,IF(AND(50&lt;=#REF!,#REF!&lt;60),-1.1*#REF!+151.5,IF(AND(60&lt;=#REF!,#REF!&lt;70),-1.05*#REF!+148.5,"")))))))</f>
        <v>#REF!</v>
      </c>
      <c r="E65" s="48"/>
      <c r="F65" s="105"/>
      <c r="G65" s="42"/>
      <c r="H65" s="52"/>
      <c r="I65" s="30"/>
      <c r="J65" s="30"/>
      <c r="K65" s="30"/>
      <c r="L65" s="30"/>
      <c r="M65" s="30"/>
      <c r="N65" s="30"/>
    </row>
    <row r="66" spans="1:14" ht="28.35" hidden="1" customHeight="1" thickBot="1" x14ac:dyDescent="0.25">
      <c r="A66" s="51"/>
      <c r="B66" s="59"/>
      <c r="C66" s="59"/>
      <c r="D66" s="40"/>
      <c r="E66" s="148"/>
      <c r="F66" s="105"/>
      <c r="G66" s="42"/>
      <c r="H66" s="52"/>
      <c r="I66" s="30"/>
      <c r="J66" s="30"/>
      <c r="K66" s="30"/>
      <c r="L66" s="30"/>
      <c r="M66" s="30"/>
      <c r="N66" s="30"/>
    </row>
    <row r="67" spans="1:14" ht="16.5" customHeight="1" thickTop="1" x14ac:dyDescent="0.2">
      <c r="A67" s="53"/>
      <c r="B67" s="332" t="s">
        <v>77</v>
      </c>
      <c r="C67" s="332"/>
      <c r="D67" s="60"/>
      <c r="E67" s="149">
        <f>E59*E41</f>
        <v>0</v>
      </c>
      <c r="F67" s="108" t="s">
        <v>41</v>
      </c>
      <c r="G67" s="45"/>
      <c r="H67" s="30"/>
      <c r="I67" s="30"/>
      <c r="J67" s="30"/>
      <c r="K67" s="30"/>
      <c r="L67" s="30"/>
      <c r="M67" s="30"/>
      <c r="N67" s="30"/>
    </row>
    <row r="68" spans="1:14" ht="8.4499999999999993" customHeight="1" x14ac:dyDescent="0.2">
      <c r="A68" s="30"/>
      <c r="B68" s="38"/>
      <c r="C68" s="38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</row>
    <row r="69" spans="1:14" ht="12.75" customHeight="1" x14ac:dyDescent="0.2">
      <c r="A69" s="63" t="s">
        <v>27</v>
      </c>
      <c r="B69" s="44" t="s">
        <v>78</v>
      </c>
      <c r="C69" s="44"/>
      <c r="D69" s="63"/>
      <c r="E69" s="63"/>
      <c r="F69" s="63"/>
      <c r="G69" s="48"/>
      <c r="H69" s="48"/>
      <c r="I69" s="49"/>
      <c r="J69" s="49"/>
      <c r="K69" s="49"/>
      <c r="L69" s="49"/>
      <c r="M69" s="49"/>
      <c r="N69" s="30"/>
    </row>
    <row r="70" spans="1:14" ht="12.75" customHeight="1" x14ac:dyDescent="0.2">
      <c r="A70" s="63" t="s">
        <v>28</v>
      </c>
      <c r="B70" s="44" t="s">
        <v>79</v>
      </c>
      <c r="C70" s="44"/>
      <c r="D70" s="63"/>
      <c r="E70" s="63"/>
      <c r="F70" s="63"/>
      <c r="G70" s="48"/>
      <c r="H70" s="48"/>
      <c r="I70" s="49"/>
      <c r="J70" s="49"/>
      <c r="K70" s="49"/>
      <c r="L70" s="49"/>
      <c r="M70" s="49"/>
      <c r="N70" s="30"/>
    </row>
    <row r="71" spans="1:14" ht="12.75" customHeight="1" x14ac:dyDescent="0.2">
      <c r="A71" s="63" t="s">
        <v>29</v>
      </c>
      <c r="B71" s="44" t="s">
        <v>80</v>
      </c>
      <c r="C71" s="44"/>
      <c r="D71" s="63"/>
      <c r="E71" s="63"/>
      <c r="F71" s="63"/>
      <c r="G71" s="48"/>
      <c r="H71" s="48"/>
      <c r="I71" s="49"/>
      <c r="J71" s="49"/>
      <c r="K71" s="49"/>
      <c r="L71" s="49"/>
      <c r="M71" s="49"/>
      <c r="N71" s="30"/>
    </row>
    <row r="72" spans="1:14" ht="12.75" customHeight="1" x14ac:dyDescent="0.2">
      <c r="A72" s="63" t="s">
        <v>30</v>
      </c>
      <c r="B72" s="44" t="s">
        <v>122</v>
      </c>
      <c r="C72" s="44"/>
      <c r="D72" s="63"/>
      <c r="E72" s="63"/>
      <c r="F72" s="63"/>
      <c r="G72" s="48"/>
      <c r="H72" s="48"/>
      <c r="I72" s="49"/>
      <c r="J72" s="49"/>
      <c r="K72" s="49"/>
      <c r="L72" s="49"/>
      <c r="M72" s="49"/>
      <c r="N72" s="30"/>
    </row>
    <row r="73" spans="1:14" ht="12.75" customHeight="1" x14ac:dyDescent="0.2">
      <c r="A73" s="63" t="s">
        <v>31</v>
      </c>
      <c r="B73" s="44" t="s">
        <v>126</v>
      </c>
      <c r="C73" s="44"/>
      <c r="D73" s="63"/>
      <c r="E73" s="63"/>
      <c r="F73" s="63"/>
      <c r="G73" s="48"/>
      <c r="H73" s="48"/>
      <c r="I73" s="49"/>
      <c r="J73" s="49"/>
      <c r="K73" s="49"/>
      <c r="L73" s="49"/>
      <c r="M73" s="49"/>
      <c r="N73" s="30"/>
    </row>
    <row r="74" spans="1:14" ht="12.75" customHeight="1" x14ac:dyDescent="0.2">
      <c r="A74" s="63" t="s">
        <v>32</v>
      </c>
      <c r="B74" s="44" t="s">
        <v>123</v>
      </c>
      <c r="C74" s="44"/>
      <c r="D74" s="63"/>
      <c r="E74" s="63"/>
      <c r="F74" s="63"/>
      <c r="G74" s="48"/>
      <c r="H74" s="48"/>
      <c r="I74" s="49"/>
      <c r="J74" s="49"/>
      <c r="K74" s="49"/>
      <c r="L74" s="49"/>
      <c r="M74" s="49"/>
      <c r="N74" s="30"/>
    </row>
    <row r="75" spans="1:14" ht="14.25" x14ac:dyDescent="0.2">
      <c r="A75" s="63" t="s">
        <v>33</v>
      </c>
      <c r="B75" s="44" t="s">
        <v>124</v>
      </c>
      <c r="C75" s="44"/>
      <c r="D75" s="63"/>
      <c r="E75" s="63"/>
      <c r="F75" s="63"/>
      <c r="G75" s="48"/>
      <c r="H75" s="48"/>
      <c r="I75" s="49"/>
      <c r="J75" s="49"/>
      <c r="K75" s="49"/>
      <c r="L75" s="49"/>
      <c r="M75" s="49"/>
      <c r="N75" s="30"/>
    </row>
    <row r="76" spans="1:14" ht="14.25" x14ac:dyDescent="0.2">
      <c r="A76" s="63" t="s">
        <v>34</v>
      </c>
      <c r="B76" s="44" t="s">
        <v>125</v>
      </c>
      <c r="C76" s="44"/>
      <c r="D76" s="63"/>
      <c r="E76" s="63"/>
      <c r="F76" s="63"/>
      <c r="G76" s="48"/>
      <c r="H76" s="48"/>
      <c r="I76" s="49"/>
      <c r="J76" s="49"/>
      <c r="K76" s="49"/>
      <c r="L76" s="49"/>
      <c r="M76" s="49"/>
      <c r="N76" s="30"/>
    </row>
    <row r="77" spans="1:14" ht="14.25" x14ac:dyDescent="0.2">
      <c r="A77" s="63"/>
      <c r="B77" s="92"/>
      <c r="C77" s="92"/>
      <c r="D77" s="93"/>
      <c r="E77" s="93"/>
      <c r="F77" s="93"/>
      <c r="G77" s="49"/>
      <c r="H77" s="49"/>
      <c r="I77" s="49"/>
      <c r="J77" s="49"/>
      <c r="K77" s="49"/>
      <c r="L77" s="49"/>
      <c r="M77" s="49"/>
      <c r="N77" s="30"/>
    </row>
    <row r="78" spans="1:14" ht="13.7" customHeight="1" x14ac:dyDescent="0.2">
      <c r="A78" s="30"/>
      <c r="B78" s="38"/>
      <c r="C78" s="38"/>
      <c r="D78" s="30"/>
      <c r="E78" s="30"/>
      <c r="F78" s="30"/>
      <c r="G78" s="30"/>
      <c r="H78" s="30"/>
      <c r="I78" s="61" t="s">
        <v>81</v>
      </c>
      <c r="J78" s="62"/>
      <c r="K78" s="62"/>
      <c r="L78" s="62"/>
      <c r="M78" s="62"/>
      <c r="N78" s="30"/>
    </row>
    <row r="79" spans="1:14" ht="13.7" customHeight="1" x14ac:dyDescent="0.2">
      <c r="A79" s="30"/>
      <c r="B79" s="44" t="s">
        <v>115</v>
      </c>
      <c r="C79" s="92"/>
      <c r="D79" s="93"/>
      <c r="E79" s="93"/>
      <c r="F79" s="93"/>
      <c r="G79" s="93"/>
      <c r="H79" s="93"/>
      <c r="I79" s="93"/>
      <c r="J79" s="93"/>
      <c r="K79" s="30"/>
      <c r="L79" s="30"/>
      <c r="M79" s="30"/>
      <c r="N79" s="30"/>
    </row>
    <row r="80" spans="1:14" ht="13.7" hidden="1" customHeight="1" x14ac:dyDescent="0.2">
      <c r="B80" s="94"/>
      <c r="C80" s="94"/>
      <c r="D80" s="95"/>
      <c r="E80" s="95"/>
      <c r="F80" s="95"/>
      <c r="G80" s="95"/>
      <c r="H80" s="95"/>
      <c r="I80" s="95"/>
      <c r="J80" s="95"/>
    </row>
    <row r="81" spans="2:10" ht="13.7" hidden="1" customHeight="1" x14ac:dyDescent="0.2">
      <c r="B81" s="94"/>
      <c r="C81" s="94"/>
      <c r="D81" s="95"/>
      <c r="E81" s="95"/>
      <c r="F81" s="95"/>
      <c r="G81" s="95"/>
      <c r="H81" s="95"/>
      <c r="I81" s="95"/>
      <c r="J81" s="95"/>
    </row>
    <row r="82" spans="2:10" ht="13.7" hidden="1" customHeight="1" x14ac:dyDescent="0.2">
      <c r="B82" s="96"/>
      <c r="C82" s="94"/>
      <c r="D82" s="95"/>
      <c r="E82" s="95"/>
      <c r="F82" s="95"/>
      <c r="G82" s="95"/>
      <c r="H82" s="95"/>
      <c r="I82" s="95"/>
      <c r="J82" s="95"/>
    </row>
    <row r="83" spans="2:10" ht="13.7" hidden="1" customHeight="1" x14ac:dyDescent="0.2">
      <c r="B83" s="96" t="s">
        <v>82</v>
      </c>
      <c r="C83" s="97"/>
      <c r="D83" s="98"/>
      <c r="E83" s="98"/>
      <c r="F83" s="96" t="s">
        <v>106</v>
      </c>
      <c r="G83" s="98"/>
      <c r="H83" s="98"/>
      <c r="I83" s="98"/>
      <c r="J83" s="98"/>
    </row>
    <row r="84" spans="2:10" ht="13.7" hidden="1" customHeight="1" x14ac:dyDescent="0.2">
      <c r="B84" s="96" t="s">
        <v>83</v>
      </c>
      <c r="C84" s="97"/>
      <c r="D84" s="98"/>
      <c r="E84" s="98"/>
      <c r="F84" s="96" t="s">
        <v>105</v>
      </c>
      <c r="G84" s="98"/>
      <c r="H84" s="98"/>
      <c r="I84" s="98"/>
      <c r="J84" s="98"/>
    </row>
    <row r="85" spans="2:10" ht="13.7" hidden="1" customHeight="1" x14ac:dyDescent="0.2">
      <c r="B85" s="96" t="s">
        <v>84</v>
      </c>
      <c r="C85" s="97"/>
      <c r="D85" s="98"/>
      <c r="E85" s="98"/>
      <c r="F85" s="96" t="s">
        <v>107</v>
      </c>
      <c r="G85" s="98"/>
      <c r="H85" s="98"/>
      <c r="I85" s="98"/>
      <c r="J85" s="98"/>
    </row>
    <row r="86" spans="2:10" ht="13.7" hidden="1" customHeight="1" x14ac:dyDescent="0.2">
      <c r="B86" s="96" t="s">
        <v>85</v>
      </c>
      <c r="C86" s="98"/>
      <c r="D86" s="98"/>
      <c r="E86" s="98"/>
      <c r="F86" s="98"/>
      <c r="G86" s="98"/>
      <c r="H86" s="98"/>
      <c r="I86" s="98"/>
      <c r="J86" s="98"/>
    </row>
    <row r="87" spans="2:10" ht="13.7" hidden="1" customHeight="1" x14ac:dyDescent="0.2">
      <c r="B87" s="96" t="s">
        <v>86</v>
      </c>
      <c r="C87" s="98"/>
      <c r="D87" s="98"/>
      <c r="E87" s="98"/>
      <c r="F87" s="96" t="s">
        <v>108</v>
      </c>
      <c r="G87" s="98"/>
      <c r="H87" s="98"/>
      <c r="I87" s="98"/>
      <c r="J87" s="98"/>
    </row>
    <row r="88" spans="2:10" ht="13.7" hidden="1" customHeight="1" x14ac:dyDescent="0.2">
      <c r="B88" s="96" t="s">
        <v>87</v>
      </c>
      <c r="C88" s="98"/>
      <c r="D88" s="98"/>
      <c r="E88" s="98"/>
      <c r="F88" s="96" t="s">
        <v>109</v>
      </c>
      <c r="G88" s="98"/>
      <c r="H88" s="98"/>
      <c r="I88" s="98"/>
      <c r="J88" s="98"/>
    </row>
    <row r="89" spans="2:10" hidden="1" x14ac:dyDescent="0.2">
      <c r="B89" s="97"/>
      <c r="C89" s="97"/>
      <c r="D89" s="98"/>
      <c r="E89" s="98"/>
      <c r="F89" s="98"/>
      <c r="G89" s="98"/>
      <c r="H89" s="98"/>
      <c r="I89" s="98"/>
      <c r="J89" s="98"/>
    </row>
    <row r="90" spans="2:10" ht="5.25" hidden="1" customHeight="1" x14ac:dyDescent="0.2">
      <c r="B90" s="98"/>
      <c r="C90" s="98"/>
      <c r="D90" s="98"/>
      <c r="E90" s="98"/>
      <c r="F90" s="98"/>
      <c r="G90" s="98"/>
      <c r="H90" s="98"/>
      <c r="I90" s="98"/>
      <c r="J90" s="98"/>
    </row>
    <row r="91" spans="2:10" ht="13.7" hidden="1" customHeight="1" x14ac:dyDescent="0.2">
      <c r="B91" s="98" t="s">
        <v>88</v>
      </c>
      <c r="C91" s="98"/>
      <c r="D91" s="98"/>
      <c r="E91" s="98"/>
      <c r="F91" s="114" t="s">
        <v>102</v>
      </c>
      <c r="G91" s="98"/>
      <c r="H91" s="98"/>
      <c r="I91" s="98"/>
      <c r="J91" s="98"/>
    </row>
    <row r="92" spans="2:10" ht="13.7" hidden="1" customHeight="1" x14ac:dyDescent="0.2">
      <c r="B92" s="98" t="s">
        <v>130</v>
      </c>
      <c r="C92" s="98"/>
      <c r="D92" s="98"/>
      <c r="E92" s="98"/>
      <c r="F92" s="114" t="s">
        <v>103</v>
      </c>
      <c r="G92" s="98"/>
      <c r="H92" s="98"/>
      <c r="I92" s="98"/>
      <c r="J92" s="98"/>
    </row>
    <row r="93" spans="2:10" ht="13.7" hidden="1" customHeight="1" x14ac:dyDescent="0.2">
      <c r="B93" s="98" t="s">
        <v>89</v>
      </c>
      <c r="C93" s="98"/>
      <c r="D93" s="98"/>
      <c r="E93" s="98"/>
      <c r="F93" s="117" t="s">
        <v>104</v>
      </c>
      <c r="G93" s="115"/>
      <c r="H93" s="115"/>
      <c r="I93" s="98"/>
      <c r="J93" s="98"/>
    </row>
    <row r="94" spans="2:10" ht="13.7" hidden="1" customHeight="1" x14ac:dyDescent="0.2">
      <c r="B94" s="98" t="s">
        <v>90</v>
      </c>
      <c r="C94" s="98"/>
      <c r="D94" s="98"/>
      <c r="E94" s="98"/>
      <c r="F94" s="116" t="s">
        <v>110</v>
      </c>
      <c r="G94" s="98"/>
      <c r="H94" s="98"/>
      <c r="I94" s="98"/>
      <c r="J94" s="98"/>
    </row>
    <row r="95" spans="2:10" ht="13.7" hidden="1" customHeight="1" x14ac:dyDescent="0.2">
      <c r="B95" s="98"/>
      <c r="C95" s="98"/>
      <c r="D95" s="98"/>
      <c r="E95" s="98"/>
      <c r="F95" s="98"/>
      <c r="G95" s="98"/>
      <c r="H95" s="98"/>
      <c r="I95" s="98"/>
      <c r="J95" s="98"/>
    </row>
    <row r="96" spans="2:10" ht="13.7" hidden="1" customHeight="1" x14ac:dyDescent="0.2">
      <c r="B96" s="98" t="s">
        <v>91</v>
      </c>
      <c r="C96" s="98"/>
      <c r="D96" s="98"/>
      <c r="E96" s="98"/>
      <c r="F96" s="98"/>
      <c r="G96" s="98"/>
      <c r="H96" s="98"/>
      <c r="I96" s="98"/>
      <c r="J96" s="98"/>
    </row>
    <row r="97" spans="1:10" ht="13.7" hidden="1" customHeight="1" x14ac:dyDescent="0.2">
      <c r="B97" s="98" t="s">
        <v>92</v>
      </c>
      <c r="C97" s="98"/>
      <c r="D97" s="98"/>
      <c r="E97" s="98"/>
      <c r="F97" s="98"/>
      <c r="G97" s="98"/>
      <c r="H97" s="98"/>
      <c r="I97" s="98"/>
      <c r="J97" s="98"/>
    </row>
    <row r="98" spans="1:10" ht="13.7" hidden="1" customHeight="1" x14ac:dyDescent="0.2">
      <c r="B98" s="98" t="s">
        <v>93</v>
      </c>
      <c r="C98" s="98"/>
      <c r="D98" s="98"/>
      <c r="E98" s="98"/>
      <c r="F98" s="98"/>
      <c r="G98" s="98"/>
      <c r="H98" s="98"/>
      <c r="I98" s="98"/>
      <c r="J98" s="98"/>
    </row>
    <row r="99" spans="1:10" ht="13.7" hidden="1" customHeight="1" x14ac:dyDescent="0.2">
      <c r="B99" s="98"/>
      <c r="C99" s="98"/>
      <c r="D99" s="98"/>
      <c r="E99" s="98"/>
      <c r="F99" s="98"/>
      <c r="G99" s="98"/>
      <c r="H99" s="98"/>
      <c r="I99" s="98"/>
      <c r="J99" s="98"/>
    </row>
    <row r="100" spans="1:10" ht="13.7" hidden="1" customHeight="1" x14ac:dyDescent="0.2">
      <c r="B100" s="98" t="s">
        <v>120</v>
      </c>
      <c r="C100" s="98"/>
      <c r="D100" s="98"/>
      <c r="E100" s="98"/>
      <c r="F100" s="98"/>
      <c r="G100" s="98"/>
      <c r="H100" s="98"/>
      <c r="I100" s="98"/>
      <c r="J100" s="98"/>
    </row>
    <row r="101" spans="1:10" ht="13.7" hidden="1" customHeight="1" x14ac:dyDescent="0.2">
      <c r="B101" s="98" t="s">
        <v>94</v>
      </c>
      <c r="C101" s="98"/>
      <c r="D101" s="98"/>
      <c r="E101" s="98"/>
      <c r="F101" s="98"/>
      <c r="G101" s="98"/>
      <c r="H101" s="98"/>
      <c r="I101" s="98"/>
      <c r="J101" s="98"/>
    </row>
    <row r="102" spans="1:10" ht="13.7" hidden="1" customHeight="1" x14ac:dyDescent="0.2">
      <c r="B102" s="98"/>
      <c r="C102" s="98"/>
      <c r="D102" s="98"/>
      <c r="E102" s="98"/>
      <c r="F102" s="98"/>
      <c r="G102" s="98"/>
      <c r="H102" s="98"/>
      <c r="I102" s="98"/>
      <c r="J102" s="98"/>
    </row>
    <row r="103" spans="1:10" ht="13.7" hidden="1" customHeight="1" x14ac:dyDescent="0.2">
      <c r="B103" s="329" t="s">
        <v>95</v>
      </c>
      <c r="C103" s="329"/>
      <c r="D103" s="329"/>
      <c r="E103" s="329"/>
      <c r="F103" s="329"/>
      <c r="G103" s="329"/>
      <c r="H103" s="329"/>
      <c r="I103" s="329"/>
      <c r="J103" s="329"/>
    </row>
    <row r="104" spans="1:10" ht="13.7" hidden="1" customHeight="1" x14ac:dyDescent="0.2">
      <c r="B104" s="329" t="s">
        <v>96</v>
      </c>
      <c r="C104" s="329"/>
      <c r="D104" s="329"/>
      <c r="E104" s="329"/>
      <c r="F104" s="329"/>
      <c r="G104" s="329"/>
      <c r="H104" s="329"/>
      <c r="I104" s="329"/>
      <c r="J104" s="329"/>
    </row>
    <row r="105" spans="1:10" ht="13.7" hidden="1" customHeight="1" x14ac:dyDescent="0.2">
      <c r="B105" s="98" t="s">
        <v>97</v>
      </c>
      <c r="C105" s="98"/>
      <c r="D105" s="98"/>
      <c r="E105" s="98"/>
      <c r="F105" s="98"/>
      <c r="G105" s="98"/>
      <c r="H105" s="98"/>
      <c r="I105" s="98"/>
      <c r="J105" s="98"/>
    </row>
    <row r="106" spans="1:10" ht="13.7" hidden="1" customHeight="1" x14ac:dyDescent="0.2">
      <c r="B106" s="98" t="s">
        <v>98</v>
      </c>
      <c r="C106" s="98"/>
      <c r="D106" s="98"/>
      <c r="E106" s="98"/>
      <c r="F106" s="98"/>
      <c r="G106" s="98"/>
      <c r="H106" s="98"/>
      <c r="I106" s="98"/>
      <c r="J106" s="98"/>
    </row>
    <row r="107" spans="1:10" ht="13.7" hidden="1" customHeight="1" x14ac:dyDescent="0.2">
      <c r="B107" s="94"/>
      <c r="C107" s="95"/>
      <c r="D107" s="95"/>
      <c r="E107" s="95"/>
      <c r="F107" s="95"/>
      <c r="G107" s="95"/>
      <c r="H107" s="95"/>
      <c r="I107" s="95"/>
      <c r="J107" s="95"/>
    </row>
    <row r="108" spans="1:10" ht="13.7" hidden="1" customHeight="1" x14ac:dyDescent="0.2">
      <c r="A108" s="65"/>
      <c r="B108" s="98" t="s">
        <v>99</v>
      </c>
      <c r="C108" s="98"/>
      <c r="D108" s="98"/>
      <c r="E108" s="95"/>
      <c r="F108" s="95"/>
      <c r="G108" s="95"/>
      <c r="H108" s="95"/>
      <c r="I108" s="95"/>
      <c r="J108" s="95"/>
    </row>
    <row r="109" spans="1:10" ht="13.7" hidden="1" customHeight="1" x14ac:dyDescent="0.2">
      <c r="B109" s="95"/>
      <c r="C109" s="95"/>
      <c r="D109" s="95"/>
      <c r="E109" s="95"/>
      <c r="F109" s="95"/>
      <c r="G109" s="95"/>
      <c r="H109" s="95"/>
      <c r="I109" s="95"/>
      <c r="J109" s="95"/>
    </row>
    <row r="110" spans="1:10" ht="13.7" hidden="1" customHeight="1" x14ac:dyDescent="0.2">
      <c r="B110" s="98" t="s">
        <v>100</v>
      </c>
      <c r="C110" s="95"/>
      <c r="D110" s="95"/>
      <c r="E110" s="95"/>
      <c r="F110" s="95"/>
      <c r="G110" s="95"/>
      <c r="H110" s="95"/>
      <c r="I110" s="95"/>
      <c r="J110" s="95"/>
    </row>
    <row r="111" spans="1:10" ht="13.7" hidden="1" customHeight="1" x14ac:dyDescent="0.2">
      <c r="B111" s="98" t="s">
        <v>101</v>
      </c>
      <c r="C111" s="95"/>
      <c r="D111" s="95"/>
      <c r="E111" s="95"/>
      <c r="F111" s="95"/>
      <c r="G111" s="95"/>
      <c r="H111" s="95"/>
      <c r="I111" s="95"/>
      <c r="J111" s="95"/>
    </row>
    <row r="112" spans="1:10" ht="13.7" hidden="1" customHeight="1" x14ac:dyDescent="0.2">
      <c r="B112" s="19"/>
      <c r="C112" s="19"/>
    </row>
    <row r="113" s="19" customFormat="1" ht="13.7" customHeight="1" x14ac:dyDescent="0.2"/>
    <row r="114" s="19" customFormat="1" ht="13.7" customHeight="1" x14ac:dyDescent="0.2"/>
    <row r="115" s="19" customFormat="1" ht="13.7" customHeight="1" x14ac:dyDescent="0.2"/>
    <row r="116" s="19" customFormat="1" ht="13.7" customHeight="1" x14ac:dyDescent="0.2"/>
    <row r="117" s="19" customFormat="1" ht="13.7" customHeight="1" x14ac:dyDescent="0.2"/>
    <row r="118" s="19" customFormat="1" ht="13.7" customHeight="1" x14ac:dyDescent="0.2"/>
    <row r="119" s="19" customFormat="1" ht="13.7" customHeight="1" x14ac:dyDescent="0.2"/>
    <row r="120" s="19" customFormat="1" ht="13.7" customHeight="1" x14ac:dyDescent="0.2"/>
    <row r="121" s="19" customFormat="1" ht="13.7" customHeight="1" x14ac:dyDescent="0.2"/>
    <row r="122" s="19" customFormat="1" ht="13.7" customHeight="1" x14ac:dyDescent="0.2"/>
    <row r="123" s="19" customFormat="1" ht="13.7" customHeight="1" x14ac:dyDescent="0.2"/>
    <row r="124" s="19" customFormat="1" ht="13.7" customHeight="1" x14ac:dyDescent="0.2"/>
    <row r="125" s="19" customFormat="1" ht="13.7" customHeight="1" x14ac:dyDescent="0.2"/>
    <row r="126" s="19" customFormat="1" ht="13.7" customHeight="1" x14ac:dyDescent="0.2"/>
    <row r="127" s="19" customFormat="1" ht="13.7" customHeight="1" x14ac:dyDescent="0.2"/>
  </sheetData>
  <sheetProtection algorithmName="SHA-512" hashValue="gspTtqKq98nlG+enu1BwiwXFD0iQk5m4ixwLHAPp71J5h5o9L/Cfvgt7upsEufvfzNXDCaIfzrh8Tefg65Jx5A==" saltValue="3Anc2/7XccwOLyLEMSiNaw==" spinCount="100000" sheet="1" objects="1" scenarios="1"/>
  <mergeCells count="33">
    <mergeCell ref="E29:G29"/>
    <mergeCell ref="B5:M5"/>
    <mergeCell ref="B7:M7"/>
    <mergeCell ref="B9:M9"/>
    <mergeCell ref="C20:D21"/>
    <mergeCell ref="E20:G20"/>
    <mergeCell ref="E21:G21"/>
    <mergeCell ref="B22:G22"/>
    <mergeCell ref="E23:G23"/>
    <mergeCell ref="E24:G24"/>
    <mergeCell ref="E26:G26"/>
    <mergeCell ref="E27:G27"/>
    <mergeCell ref="E45:F45"/>
    <mergeCell ref="E30:G30"/>
    <mergeCell ref="K32:N34"/>
    <mergeCell ref="E33:J33"/>
    <mergeCell ref="E34:J34"/>
    <mergeCell ref="H37:I37"/>
    <mergeCell ref="J37:K37"/>
    <mergeCell ref="A39:F39"/>
    <mergeCell ref="B40:C40"/>
    <mergeCell ref="B41:C41"/>
    <mergeCell ref="B42:C42"/>
    <mergeCell ref="A44:F44"/>
    <mergeCell ref="B67:C67"/>
    <mergeCell ref="B103:J103"/>
    <mergeCell ref="B104:J104"/>
    <mergeCell ref="B46:C46"/>
    <mergeCell ref="E46:F46"/>
    <mergeCell ref="A48:F48"/>
    <mergeCell ref="C49:F49"/>
    <mergeCell ref="A58:F58"/>
    <mergeCell ref="B59:C59"/>
  </mergeCells>
  <conditionalFormatting sqref="B51 D51:F51">
    <cfRule type="expression" dxfId="2" priority="1" stopIfTrue="1">
      <formula>$J$37="Versickerungsanlage"</formula>
    </cfRule>
  </conditionalFormatting>
  <dataValidations count="9">
    <dataValidation type="list" showInputMessage="1" showErrorMessage="1" sqref="E46:F46" xr:uid="{00000000-0002-0000-0400-000000000000}">
      <formula1>Typ_Jährlichkeit</formula1>
    </dataValidation>
    <dataValidation type="list" showInputMessage="1" showErrorMessage="1" sqref="E45:F45" xr:uid="{00000000-0002-0000-0400-000001000000}">
      <formula1>Typ_Zone</formula1>
    </dataValidation>
    <dataValidation type="list" allowBlank="1" showInputMessage="1" showErrorMessage="1" sqref="E21:G21" xr:uid="{00000000-0002-0000-0400-000002000000}">
      <formula1>$B$110:$B$111</formula1>
    </dataValidation>
    <dataValidation type="list" allowBlank="1" showInputMessage="1" showErrorMessage="1" sqref="E20:G20" xr:uid="{00000000-0002-0000-0400-000003000000}">
      <formula1>$B$83:$B$88</formula1>
    </dataValidation>
    <dataValidation type="list" allowBlank="1" showInputMessage="1" showErrorMessage="1" sqref="E29:E30 F30:G30" xr:uid="{00000000-0002-0000-0400-000004000000}">
      <formula1>$B$100:$B$101</formula1>
    </dataValidation>
    <dataValidation type="list" allowBlank="1" showInputMessage="1" showErrorMessage="1" sqref="E26:G27" xr:uid="{00000000-0002-0000-0400-000005000000}">
      <formula1>$B$96:$B$98</formula1>
    </dataValidation>
    <dataValidation type="list" allowBlank="1" showInputMessage="1" showErrorMessage="1" sqref="E23:G24" xr:uid="{00000000-0002-0000-0400-000006000000}">
      <formula1>$B$91:$B$94</formula1>
    </dataValidation>
    <dataValidation type="list" showInputMessage="1" showErrorMessage="1" sqref="G45:H47 E47:F47" xr:uid="{00000000-0002-0000-0400-000007000000}">
      <formula1>#REF!</formula1>
    </dataValidation>
    <dataValidation showInputMessage="1" showErrorMessage="1" sqref="C49:F49" xr:uid="{00000000-0002-0000-0400-00000A000000}"/>
  </dataValidations>
  <hyperlinks>
    <hyperlink ref="C20:D21" r:id="rId1" display="Siehe Geoportal" xr:uid="{00000000-0004-0000-0400-000000000000}"/>
  </hyperlinks>
  <printOptions horizontalCentered="1" verticalCentered="1"/>
  <pageMargins left="0.62992125984251968" right="0.70866141732283472" top="1.1413043478260869" bottom="0.55118110236220474" header="0.19685039370078741" footer="0.19685039370078741"/>
  <pageSetup paperSize="9" fitToHeight="0" orientation="landscape" r:id="rId2"/>
  <headerFooter differentFirst="1" alignWithMargins="0">
    <oddHeader>&amp;L&amp;"Arial,Fett"&amp;8Amt für Umwelt&amp;"Arial,Standard" AfU
Seite &amp;P von &amp;N</oddHeader>
    <oddFooter>&amp;R 4.2.009.1 / August 2013</oddFooter>
    <firstHeader>&amp;L&amp;G&amp;R&amp;"Arial,Gras"&amp;8Amt für Umwelt &amp;"Arial,Normal"AfU 
Route de la Fonderie 2
1701 Fribourg</firstHeader>
    <firstFooter>&amp;L—
&amp;8Direction de l'aménagement, de l'environnement et des constructions &amp;"Arial,Gras"DAEC&amp;"Arial,Normal"
Raumplanungs-, Umwelt- und Baudirektion &amp;"Arial,Gras"RUBD&amp;"Arial,Normal" &amp;R 4.2.009.1 / August 2013</firstFooter>
  </headerFooter>
  <rowBreaks count="1" manualBreakCount="1">
    <brk id="36" max="16383" man="1"/>
  </rowBreaks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8"/>
  <dimension ref="B2:V58"/>
  <sheetViews>
    <sheetView zoomScaleNormal="100" workbookViewId="0">
      <selection activeCell="C56" sqref="C56"/>
    </sheetView>
  </sheetViews>
  <sheetFormatPr baseColWidth="10" defaultRowHeight="12.75" x14ac:dyDescent="0.2"/>
  <cols>
    <col min="1" max="1" width="4.28515625" customWidth="1"/>
    <col min="2" max="2" width="22.7109375" customWidth="1"/>
    <col min="3" max="3" width="35.42578125" customWidth="1"/>
    <col min="4" max="4" width="23.7109375" customWidth="1"/>
    <col min="5" max="5" width="7.85546875" customWidth="1"/>
    <col min="6" max="22" width="10" customWidth="1"/>
  </cols>
  <sheetData>
    <row r="2" spans="2:22" x14ac:dyDescent="0.2">
      <c r="B2" s="7" t="s">
        <v>102</v>
      </c>
      <c r="C2" s="7" t="s">
        <v>15</v>
      </c>
      <c r="D2" t="s">
        <v>8</v>
      </c>
      <c r="E2" s="347"/>
      <c r="F2" s="347"/>
      <c r="G2" s="347"/>
      <c r="H2" s="347"/>
      <c r="I2" s="7"/>
      <c r="J2" s="7"/>
      <c r="K2" s="7"/>
      <c r="L2" s="7"/>
      <c r="M2" s="7"/>
      <c r="N2" s="347"/>
      <c r="O2" s="347"/>
      <c r="P2" s="347"/>
      <c r="Q2" s="347"/>
      <c r="R2" s="7"/>
      <c r="S2" s="7"/>
      <c r="T2" s="7"/>
    </row>
    <row r="3" spans="2:22" x14ac:dyDescent="0.2">
      <c r="B3" s="7" t="s">
        <v>103</v>
      </c>
      <c r="C3" s="7" t="s">
        <v>15</v>
      </c>
      <c r="D3" t="s">
        <v>14</v>
      </c>
      <c r="E3" s="347"/>
      <c r="F3" s="347"/>
      <c r="G3" s="10"/>
      <c r="H3" s="10"/>
      <c r="I3" s="10"/>
      <c r="J3" s="10"/>
      <c r="K3" s="10"/>
      <c r="L3" s="10"/>
      <c r="M3" s="10"/>
      <c r="N3" s="347"/>
      <c r="O3" s="347"/>
      <c r="P3" s="10"/>
      <c r="Q3" s="10"/>
      <c r="R3" s="10"/>
      <c r="S3" s="10"/>
      <c r="T3" s="10"/>
    </row>
    <row r="4" spans="2:22" ht="15.75" x14ac:dyDescent="0.3">
      <c r="B4" s="12" t="s">
        <v>104</v>
      </c>
      <c r="C4" s="7" t="s">
        <v>15</v>
      </c>
      <c r="D4" s="7" t="s">
        <v>127</v>
      </c>
      <c r="E4" s="2"/>
      <c r="F4" s="2"/>
      <c r="G4" s="4"/>
      <c r="H4" s="4"/>
      <c r="I4" s="11"/>
      <c r="J4" s="2"/>
      <c r="K4" s="2"/>
      <c r="L4" s="2"/>
      <c r="M4" s="2"/>
      <c r="N4" s="2"/>
      <c r="O4" s="2"/>
      <c r="P4" s="4"/>
      <c r="Q4" s="4"/>
      <c r="R4" s="11"/>
      <c r="S4" s="2"/>
      <c r="T4" s="2"/>
    </row>
    <row r="5" spans="2:22" ht="35.450000000000003" customHeight="1" x14ac:dyDescent="0.2">
      <c r="B5" s="12" t="s">
        <v>110</v>
      </c>
      <c r="C5" s="12" t="s">
        <v>16</v>
      </c>
      <c r="D5" t="s">
        <v>1</v>
      </c>
      <c r="E5" s="2"/>
      <c r="F5" s="2"/>
      <c r="G5" s="4"/>
      <c r="H5" s="4"/>
      <c r="I5" s="11"/>
      <c r="J5" s="2"/>
      <c r="K5" s="2"/>
      <c r="L5" s="2"/>
      <c r="M5" s="2"/>
      <c r="N5" s="2"/>
      <c r="O5" s="2"/>
      <c r="P5" s="4"/>
      <c r="Q5" s="4"/>
      <c r="R5" s="11"/>
      <c r="S5" s="2"/>
      <c r="T5" s="2"/>
      <c r="U5" s="2"/>
      <c r="V5" s="2"/>
    </row>
    <row r="6" spans="2:22" x14ac:dyDescent="0.2">
      <c r="E6" s="2"/>
      <c r="F6" s="2"/>
      <c r="G6" s="4"/>
      <c r="H6" s="4"/>
      <c r="I6" s="11"/>
      <c r="J6" s="2"/>
      <c r="K6" s="2"/>
      <c r="L6" s="2"/>
      <c r="M6" s="2"/>
      <c r="N6" s="2"/>
      <c r="O6" s="2"/>
      <c r="P6" s="4"/>
      <c r="Q6" s="4"/>
      <c r="R6" s="11"/>
      <c r="S6" s="2"/>
      <c r="T6" s="2"/>
      <c r="U6" s="2"/>
      <c r="V6" s="2"/>
    </row>
    <row r="7" spans="2:22" x14ac:dyDescent="0.2">
      <c r="B7" s="7" t="s">
        <v>106</v>
      </c>
      <c r="C7" s="7" t="s">
        <v>108</v>
      </c>
      <c r="E7" s="2"/>
      <c r="F7" s="2"/>
      <c r="G7" s="4"/>
      <c r="H7" s="4"/>
      <c r="I7" s="11"/>
      <c r="J7" s="2"/>
      <c r="K7" s="2"/>
      <c r="L7" s="2"/>
      <c r="M7" s="2"/>
      <c r="N7" s="2"/>
      <c r="O7" s="2"/>
      <c r="P7" s="4"/>
      <c r="Q7" s="4"/>
      <c r="R7" s="11"/>
      <c r="S7" s="2"/>
      <c r="T7" s="2"/>
      <c r="U7" s="2"/>
      <c r="V7" s="2"/>
    </row>
    <row r="8" spans="2:22" x14ac:dyDescent="0.2">
      <c r="B8" s="7" t="s">
        <v>105</v>
      </c>
      <c r="C8" s="7" t="s">
        <v>171</v>
      </c>
      <c r="E8" s="2"/>
      <c r="F8" s="2"/>
      <c r="G8" s="4"/>
      <c r="H8" s="4"/>
      <c r="I8" s="11"/>
      <c r="J8" s="2"/>
      <c r="K8" s="2"/>
      <c r="L8" s="2"/>
      <c r="M8" s="2"/>
      <c r="N8" s="2"/>
      <c r="O8" s="2"/>
      <c r="P8" s="4"/>
      <c r="Q8" s="4"/>
      <c r="R8" s="11"/>
      <c r="S8" s="2"/>
      <c r="T8" s="2"/>
      <c r="U8" s="2"/>
      <c r="V8" s="2"/>
    </row>
    <row r="9" spans="2:22" x14ac:dyDescent="0.2">
      <c r="B9" s="7" t="s">
        <v>107</v>
      </c>
      <c r="E9" s="2"/>
      <c r="F9" s="2"/>
      <c r="G9" s="4"/>
      <c r="H9" s="4"/>
      <c r="I9" s="11"/>
      <c r="J9" s="2"/>
      <c r="K9" s="2"/>
      <c r="L9" s="2"/>
      <c r="M9" s="2"/>
      <c r="N9" s="2"/>
      <c r="O9" s="2"/>
      <c r="P9" s="4"/>
      <c r="Q9" s="4"/>
      <c r="R9" s="11"/>
      <c r="S9" s="2"/>
      <c r="T9" s="2"/>
      <c r="U9" s="2"/>
      <c r="V9" s="2"/>
    </row>
    <row r="10" spans="2:22" x14ac:dyDescent="0.2">
      <c r="E10" s="2"/>
      <c r="F10" s="2"/>
      <c r="G10" s="4"/>
      <c r="H10" s="4"/>
      <c r="I10" s="11"/>
      <c r="J10" s="2"/>
      <c r="K10" s="2"/>
      <c r="L10" s="2"/>
      <c r="M10" s="2"/>
      <c r="N10" s="2"/>
      <c r="O10" s="2"/>
      <c r="P10" s="4"/>
      <c r="Q10" s="4"/>
      <c r="R10" s="11"/>
      <c r="S10" s="2"/>
      <c r="T10" s="2"/>
      <c r="U10" s="2"/>
      <c r="V10" s="2"/>
    </row>
    <row r="11" spans="2:22" x14ac:dyDescent="0.2">
      <c r="B11" s="163"/>
      <c r="C11" s="164"/>
      <c r="E11" s="2"/>
      <c r="F11" s="2"/>
      <c r="G11" s="4"/>
      <c r="H11" s="4"/>
      <c r="I11" s="11"/>
      <c r="J11" s="2"/>
      <c r="K11" s="2"/>
      <c r="L11" s="2"/>
      <c r="M11" s="2"/>
      <c r="N11" s="2"/>
      <c r="O11" s="2"/>
      <c r="P11" s="4"/>
      <c r="Q11" s="4"/>
      <c r="R11" s="11"/>
      <c r="S11" s="2"/>
      <c r="T11" s="2"/>
      <c r="U11" s="2"/>
      <c r="V11" s="2"/>
    </row>
    <row r="12" spans="2:22" x14ac:dyDescent="0.2">
      <c r="B12" s="163" t="s">
        <v>169</v>
      </c>
      <c r="C12" s="164"/>
      <c r="E12" s="2"/>
      <c r="F12" s="2"/>
      <c r="G12" s="4"/>
      <c r="H12" s="4"/>
      <c r="I12" s="11"/>
      <c r="J12" s="2"/>
      <c r="K12" s="2"/>
      <c r="L12" s="2"/>
      <c r="M12" s="2"/>
      <c r="N12" s="2"/>
      <c r="O12" s="2"/>
      <c r="P12" s="4"/>
      <c r="Q12" s="4"/>
      <c r="R12" s="11"/>
      <c r="S12" s="2"/>
      <c r="T12" s="2"/>
      <c r="U12" s="2"/>
      <c r="V12" s="2"/>
    </row>
    <row r="13" spans="2:22" x14ac:dyDescent="0.2">
      <c r="B13" s="163" t="s">
        <v>135</v>
      </c>
      <c r="C13" s="10"/>
      <c r="D13" s="10"/>
      <c r="E13" s="2"/>
      <c r="F13" s="2"/>
      <c r="G13" s="4"/>
      <c r="H13" s="4"/>
      <c r="I13" s="11"/>
      <c r="J13" s="2"/>
      <c r="K13" s="2"/>
      <c r="L13" s="2"/>
      <c r="M13" s="2"/>
      <c r="N13" s="2"/>
      <c r="O13" s="2"/>
      <c r="P13" s="4"/>
      <c r="Q13" s="4"/>
      <c r="R13" s="11"/>
      <c r="S13" s="2"/>
      <c r="T13" s="2"/>
      <c r="U13" s="2"/>
      <c r="V13" s="2"/>
    </row>
    <row r="14" spans="2:22" x14ac:dyDescent="0.2">
      <c r="E14" s="21"/>
      <c r="G14" s="7"/>
      <c r="P14" s="15"/>
    </row>
    <row r="15" spans="2:22" x14ac:dyDescent="0.2">
      <c r="C15" s="7" t="s">
        <v>196</v>
      </c>
      <c r="D15" s="7" t="s">
        <v>110</v>
      </c>
      <c r="E15" s="21"/>
      <c r="F15" s="2"/>
      <c r="J15" s="2"/>
      <c r="K15" s="7"/>
      <c r="O15" s="2"/>
      <c r="P15" s="22"/>
      <c r="S15" s="2"/>
    </row>
    <row r="16" spans="2:22" x14ac:dyDescent="0.2">
      <c r="B16" s="7" t="s">
        <v>190</v>
      </c>
      <c r="E16" s="21"/>
      <c r="F16" s="2"/>
      <c r="J16" s="2"/>
      <c r="K16" s="7"/>
      <c r="O16" s="2"/>
      <c r="P16" s="22"/>
      <c r="S16" s="2"/>
    </row>
    <row r="17" spans="2:19" x14ac:dyDescent="0.2">
      <c r="B17" s="122"/>
      <c r="C17" s="123" t="s">
        <v>189</v>
      </c>
      <c r="D17" s="124">
        <v>1</v>
      </c>
      <c r="F17" s="2"/>
      <c r="G17" s="9">
        <f>VLOOKUP(C17,C17:D48,2,0)</f>
        <v>1</v>
      </c>
      <c r="J17" s="2"/>
      <c r="K17" s="7"/>
      <c r="O17" s="2"/>
      <c r="P17" s="22"/>
      <c r="S17" s="2"/>
    </row>
    <row r="18" spans="2:19" x14ac:dyDescent="0.2">
      <c r="B18" s="122"/>
      <c r="C18" s="123" t="s">
        <v>142</v>
      </c>
      <c r="D18" s="124">
        <v>0.8</v>
      </c>
      <c r="F18" s="2"/>
      <c r="J18" s="2"/>
      <c r="K18" s="7"/>
      <c r="O18" s="2"/>
      <c r="P18" s="22"/>
      <c r="S18" s="2"/>
    </row>
    <row r="19" spans="2:19" x14ac:dyDescent="0.2">
      <c r="B19" s="123" t="s">
        <v>143</v>
      </c>
      <c r="D19" s="124"/>
      <c r="F19" s="2"/>
      <c r="J19" s="2"/>
      <c r="K19" s="7"/>
      <c r="O19" s="2"/>
      <c r="P19" s="22"/>
      <c r="S19" s="2"/>
    </row>
    <row r="20" spans="2:19" x14ac:dyDescent="0.2">
      <c r="B20" s="122"/>
      <c r="C20" s="123"/>
      <c r="D20" s="124"/>
      <c r="F20" s="2"/>
      <c r="J20" s="2"/>
      <c r="K20" s="7"/>
      <c r="O20" s="2"/>
      <c r="P20" s="22"/>
      <c r="S20" s="2"/>
    </row>
    <row r="21" spans="2:19" x14ac:dyDescent="0.2">
      <c r="B21" s="122"/>
      <c r="C21" s="123" t="s">
        <v>191</v>
      </c>
      <c r="D21" s="124">
        <v>0.1</v>
      </c>
      <c r="F21" s="2"/>
      <c r="J21" s="2"/>
      <c r="K21" s="7"/>
      <c r="O21" s="2"/>
      <c r="P21" s="22"/>
      <c r="S21" s="2"/>
    </row>
    <row r="22" spans="2:19" x14ac:dyDescent="0.2">
      <c r="B22" s="122"/>
      <c r="C22" s="123" t="s">
        <v>192</v>
      </c>
      <c r="D22" s="124">
        <v>0.2</v>
      </c>
      <c r="F22" s="2"/>
      <c r="J22" s="2"/>
      <c r="K22" s="7"/>
      <c r="O22" s="2"/>
      <c r="P22" s="22"/>
      <c r="S22" s="2"/>
    </row>
    <row r="23" spans="2:19" x14ac:dyDescent="0.2">
      <c r="B23" s="122"/>
      <c r="C23" s="123" t="s">
        <v>193</v>
      </c>
      <c r="D23" s="124">
        <v>0.4</v>
      </c>
      <c r="F23" s="2"/>
      <c r="J23" s="2"/>
      <c r="K23" s="7"/>
      <c r="O23" s="2"/>
      <c r="P23" s="22"/>
      <c r="S23" s="2"/>
    </row>
    <row r="24" spans="2:19" x14ac:dyDescent="0.2">
      <c r="B24" s="122"/>
      <c r="C24" s="123" t="s">
        <v>194</v>
      </c>
      <c r="D24" s="124">
        <v>0.7</v>
      </c>
      <c r="F24" s="2"/>
      <c r="J24" s="2"/>
      <c r="K24" s="7"/>
      <c r="O24" s="2"/>
      <c r="P24" s="22"/>
      <c r="S24" s="2"/>
    </row>
    <row r="25" spans="2:19" x14ac:dyDescent="0.2">
      <c r="B25" s="122" t="s">
        <v>144</v>
      </c>
      <c r="C25" s="125"/>
      <c r="D25" s="126"/>
      <c r="F25" s="2"/>
      <c r="J25" s="2"/>
      <c r="K25" s="7"/>
      <c r="O25" s="2"/>
      <c r="P25" s="22"/>
      <c r="S25" s="2"/>
    </row>
    <row r="26" spans="2:19" x14ac:dyDescent="0.2">
      <c r="B26" s="122"/>
      <c r="C26" s="186" t="s">
        <v>149</v>
      </c>
      <c r="D26" s="124">
        <v>1</v>
      </c>
      <c r="F26" s="2"/>
      <c r="J26" s="2"/>
      <c r="K26" s="7"/>
      <c r="O26" s="2"/>
      <c r="P26" s="22"/>
      <c r="S26" s="2"/>
    </row>
    <row r="27" spans="2:19" x14ac:dyDescent="0.2">
      <c r="B27" s="122"/>
      <c r="C27" s="186" t="s">
        <v>145</v>
      </c>
      <c r="D27" s="124">
        <v>0.6</v>
      </c>
      <c r="F27" s="23"/>
      <c r="H27" s="24"/>
      <c r="I27" s="24"/>
      <c r="J27" s="23"/>
      <c r="K27" s="7"/>
      <c r="L27" s="24"/>
      <c r="M27" s="24"/>
      <c r="N27" s="24"/>
      <c r="O27" s="23"/>
      <c r="P27" s="22"/>
      <c r="S27" s="2"/>
    </row>
    <row r="28" spans="2:19" x14ac:dyDescent="0.2">
      <c r="B28" s="127"/>
      <c r="C28" s="125" t="s">
        <v>146</v>
      </c>
      <c r="D28" s="124">
        <v>0.6</v>
      </c>
    </row>
    <row r="29" spans="2:19" x14ac:dyDescent="0.2">
      <c r="B29" s="127"/>
      <c r="C29" s="186" t="s">
        <v>197</v>
      </c>
      <c r="D29" s="124">
        <v>0.6</v>
      </c>
      <c r="F29" s="3"/>
      <c r="G29" s="3"/>
      <c r="J29" s="4"/>
    </row>
    <row r="30" spans="2:19" x14ac:dyDescent="0.2">
      <c r="B30" s="127"/>
      <c r="C30" s="186" t="s">
        <v>198</v>
      </c>
      <c r="D30" s="124">
        <v>0.2</v>
      </c>
      <c r="H30" s="5"/>
      <c r="I30" s="5"/>
      <c r="J30" s="1"/>
      <c r="K30" s="3"/>
      <c r="L30" s="3"/>
      <c r="M30" s="3"/>
    </row>
    <row r="31" spans="2:19" x14ac:dyDescent="0.2">
      <c r="B31" s="122"/>
      <c r="C31" s="186" t="s">
        <v>150</v>
      </c>
      <c r="D31" s="124">
        <v>0.2</v>
      </c>
      <c r="J31" s="1"/>
      <c r="K31" s="2"/>
      <c r="L31" s="2"/>
      <c r="M31" s="2"/>
    </row>
    <row r="32" spans="2:19" x14ac:dyDescent="0.2">
      <c r="B32" s="127"/>
      <c r="C32" s="125"/>
      <c r="D32" s="126"/>
      <c r="J32" s="1"/>
      <c r="K32" s="2"/>
      <c r="L32" s="2"/>
      <c r="M32" s="2"/>
    </row>
    <row r="33" spans="2:13" x14ac:dyDescent="0.2">
      <c r="B33" s="128" t="s">
        <v>147</v>
      </c>
      <c r="C33" s="129"/>
      <c r="D33" s="126"/>
      <c r="J33" s="1"/>
      <c r="K33" s="2"/>
      <c r="L33" s="2"/>
      <c r="M33" s="2"/>
    </row>
    <row r="34" spans="2:13" x14ac:dyDescent="0.2">
      <c r="B34" s="255"/>
      <c r="C34" s="129"/>
      <c r="D34" s="126"/>
      <c r="J34" s="1"/>
      <c r="K34" s="2"/>
      <c r="L34" s="2"/>
      <c r="M34" s="2"/>
    </row>
    <row r="35" spans="2:13" x14ac:dyDescent="0.2">
      <c r="C35" s="257" t="s">
        <v>225</v>
      </c>
      <c r="D35" s="124">
        <v>0.1</v>
      </c>
      <c r="F35" s="6"/>
      <c r="G35" s="6"/>
    </row>
    <row r="36" spans="2:13" x14ac:dyDescent="0.2">
      <c r="C36" s="123" t="s">
        <v>215</v>
      </c>
      <c r="D36" s="124">
        <v>0.15</v>
      </c>
      <c r="F36" s="6"/>
      <c r="G36" s="6"/>
    </row>
    <row r="37" spans="2:13" x14ac:dyDescent="0.2">
      <c r="C37" s="123" t="s">
        <v>216</v>
      </c>
      <c r="D37" s="124">
        <v>0.2</v>
      </c>
      <c r="F37" s="6"/>
      <c r="G37" s="6"/>
    </row>
    <row r="38" spans="2:13" x14ac:dyDescent="0.2">
      <c r="C38" s="123" t="s">
        <v>226</v>
      </c>
      <c r="D38" s="124">
        <v>0.3</v>
      </c>
      <c r="F38" s="6"/>
      <c r="G38" s="6"/>
    </row>
    <row r="39" spans="2:13" x14ac:dyDescent="0.2">
      <c r="B39" s="122"/>
      <c r="C39" s="123" t="s">
        <v>217</v>
      </c>
      <c r="D39" s="124">
        <v>0.15</v>
      </c>
    </row>
    <row r="40" spans="2:13" x14ac:dyDescent="0.2">
      <c r="B40" s="122"/>
      <c r="C40" s="123" t="s">
        <v>218</v>
      </c>
      <c r="D40" s="124">
        <v>0.3</v>
      </c>
    </row>
    <row r="41" spans="2:13" x14ac:dyDescent="0.2">
      <c r="B41" s="122"/>
      <c r="C41" s="123" t="s">
        <v>219</v>
      </c>
      <c r="D41" s="124">
        <v>0.4</v>
      </c>
    </row>
    <row r="42" spans="2:13" x14ac:dyDescent="0.2">
      <c r="B42" s="122"/>
      <c r="C42" s="123" t="s">
        <v>220</v>
      </c>
      <c r="D42" s="124">
        <v>0.5</v>
      </c>
    </row>
    <row r="43" spans="2:13" x14ac:dyDescent="0.2">
      <c r="B43" s="122"/>
      <c r="C43" s="123" t="s">
        <v>221</v>
      </c>
      <c r="D43" s="124">
        <v>0.05</v>
      </c>
    </row>
    <row r="44" spans="2:13" x14ac:dyDescent="0.2">
      <c r="B44" s="122"/>
      <c r="C44" s="123" t="s">
        <v>222</v>
      </c>
      <c r="D44" s="124">
        <v>0.1</v>
      </c>
    </row>
    <row r="45" spans="2:13" x14ac:dyDescent="0.2">
      <c r="B45" s="122"/>
      <c r="C45" s="123" t="s">
        <v>223</v>
      </c>
      <c r="D45" s="124">
        <v>0.15</v>
      </c>
    </row>
    <row r="46" spans="2:13" x14ac:dyDescent="0.2">
      <c r="B46" s="122"/>
      <c r="C46" s="123" t="s">
        <v>224</v>
      </c>
      <c r="D46" s="124">
        <v>0.25</v>
      </c>
    </row>
    <row r="47" spans="2:13" x14ac:dyDescent="0.2">
      <c r="B47" s="133"/>
    </row>
    <row r="48" spans="2:13" x14ac:dyDescent="0.2">
      <c r="C48" s="132"/>
      <c r="D48" s="124"/>
    </row>
    <row r="51" spans="2:5" x14ac:dyDescent="0.2">
      <c r="B51" s="7" t="s">
        <v>227</v>
      </c>
      <c r="D51">
        <v>1.5</v>
      </c>
      <c r="E51" s="7" t="s">
        <v>228</v>
      </c>
    </row>
    <row r="54" spans="2:5" x14ac:dyDescent="0.2">
      <c r="B54" s="7"/>
      <c r="C54" s="265"/>
    </row>
    <row r="55" spans="2:5" x14ac:dyDescent="0.2">
      <c r="B55" s="7" t="s">
        <v>229</v>
      </c>
      <c r="C55">
        <f>'Abflussbeiwert Parzelle'!F46*'Abflussbeiwert Parzelle'!D44</f>
        <v>0</v>
      </c>
    </row>
    <row r="56" spans="2:5" x14ac:dyDescent="0.2">
      <c r="B56" s="7" t="s">
        <v>230</v>
      </c>
      <c r="C56" s="265">
        <f>MAX(0,SUMIF('Abflussbeiwert Parzelle'!G8:G36,"Retentionsanlage",'Abflussbeiwert Parzelle'!F8:F36)+SUMIF('Abflussbeiwert Parzelle'!G8:G36,"",'Abflussbeiwert Parzelle'!F8:F36)-liste!C55)</f>
        <v>0</v>
      </c>
    </row>
    <row r="57" spans="2:5" x14ac:dyDescent="0.2">
      <c r="B57" s="7" t="s">
        <v>231</v>
      </c>
      <c r="C57" s="265">
        <f>SUMIF('Abflussbeiwert Parzelle'!G8:G36,"Retentionsanlage",'Abflussbeiwert Parzelle'!F8:F36)</f>
        <v>0</v>
      </c>
    </row>
    <row r="58" spans="2:5" x14ac:dyDescent="0.2">
      <c r="B58" s="7" t="s">
        <v>232</v>
      </c>
      <c r="C58">
        <f>IF(C57&gt;0,MAX((C57-C56)/'Abflussbeiwert Parzelle'!D41,0.05),0)</f>
        <v>0</v>
      </c>
    </row>
  </sheetData>
  <mergeCells count="4">
    <mergeCell ref="E2:H2"/>
    <mergeCell ref="N2:Q2"/>
    <mergeCell ref="E3:F3"/>
    <mergeCell ref="N3:O3"/>
  </mergeCells>
  <conditionalFormatting sqref="E4:E13 N4:N13">
    <cfRule type="cellIs" dxfId="1" priority="2" stopIfTrue="1" operator="between">
      <formula>$C$11-5</formula>
      <formula>$C$11</formula>
    </cfRule>
  </conditionalFormatting>
  <conditionalFormatting sqref="F4:G13 O4:P13">
    <cfRule type="cellIs" dxfId="0" priority="1" stopIfTrue="1" operator="between">
      <formula>$C$11</formula>
      <formula>$C$11+9</formula>
    </cfRule>
  </conditionalFormatting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9"/>
  <dimension ref="A1:M56"/>
  <sheetViews>
    <sheetView workbookViewId="0">
      <selection activeCell="B23" sqref="B23"/>
    </sheetView>
  </sheetViews>
  <sheetFormatPr baseColWidth="10" defaultRowHeight="12.75" x14ac:dyDescent="0.2"/>
  <cols>
    <col min="4" max="4" width="14.5703125" customWidth="1"/>
  </cols>
  <sheetData>
    <row r="1" spans="1:13" x14ac:dyDescent="0.2">
      <c r="F1" s="14" t="s">
        <v>162</v>
      </c>
    </row>
    <row r="2" spans="1:13" x14ac:dyDescent="0.2">
      <c r="A2" s="7" t="s">
        <v>179</v>
      </c>
      <c r="C2">
        <v>5</v>
      </c>
      <c r="D2" s="7" t="s">
        <v>178</v>
      </c>
      <c r="F2" s="14"/>
      <c r="G2" s="8"/>
      <c r="H2" s="8"/>
      <c r="I2" s="8"/>
      <c r="J2" s="8"/>
      <c r="K2" s="8"/>
      <c r="L2" s="8"/>
    </row>
    <row r="3" spans="1:13" x14ac:dyDescent="0.2">
      <c r="F3" s="17"/>
      <c r="G3" s="18"/>
      <c r="H3" s="18"/>
      <c r="I3" s="18"/>
      <c r="J3" s="18"/>
      <c r="K3" s="18"/>
      <c r="L3" s="18"/>
    </row>
    <row r="4" spans="1:13" x14ac:dyDescent="0.2">
      <c r="A4" s="135" t="s">
        <v>5</v>
      </c>
      <c r="B4" s="136" t="s">
        <v>106</v>
      </c>
      <c r="C4" s="136" t="s">
        <v>105</v>
      </c>
      <c r="D4" s="137" t="s">
        <v>107</v>
      </c>
      <c r="F4" s="7" t="s">
        <v>153</v>
      </c>
      <c r="G4" t="s">
        <v>154</v>
      </c>
      <c r="H4" t="s">
        <v>156</v>
      </c>
      <c r="I4" s="7" t="s">
        <v>158</v>
      </c>
      <c r="J4" t="s">
        <v>157</v>
      </c>
      <c r="L4" s="7" t="s">
        <v>175</v>
      </c>
    </row>
    <row r="5" spans="1:13" x14ac:dyDescent="0.2">
      <c r="A5" s="14"/>
      <c r="B5" s="7"/>
      <c r="C5" s="7"/>
      <c r="D5" s="15"/>
      <c r="F5" s="134">
        <v>5</v>
      </c>
      <c r="G5">
        <f>F5/2.78/$B$19</f>
        <v>4.6093314994339739E-2</v>
      </c>
      <c r="H5" s="134">
        <f>SQRT($B$20/G5)-$B$20</f>
        <v>2.0455965800726634</v>
      </c>
      <c r="I5" s="134">
        <f>H5*60</f>
        <v>122.73579480435981</v>
      </c>
      <c r="J5">
        <f t="shared" ref="J5:J26" si="0">IF(ISNUMBER(F5),($B$19/(H5+$B$20)*2.78-F5)*H5*3.6,NA())</f>
        <v>312.53268311738407</v>
      </c>
      <c r="K5" s="7"/>
      <c r="L5" s="7" t="s">
        <v>10</v>
      </c>
      <c r="M5" s="7" t="s">
        <v>11</v>
      </c>
    </row>
    <row r="6" spans="1:13" x14ac:dyDescent="0.2">
      <c r="A6" s="14" t="s">
        <v>3</v>
      </c>
      <c r="B6" s="16">
        <v>23.61</v>
      </c>
      <c r="C6" s="16">
        <v>28.6</v>
      </c>
      <c r="D6" s="138">
        <f>AVERAGE(B6:C6)</f>
        <v>26.105</v>
      </c>
      <c r="F6" s="7">
        <v>10</v>
      </c>
      <c r="G6">
        <f>F6/2.78/$B$19</f>
        <v>9.2186629988679478E-2</v>
      </c>
      <c r="H6" s="134">
        <f t="shared" ref="H6:H29" si="1">SQRT($B$20/G6)-$B$20</f>
        <v>1.3758679476073485</v>
      </c>
      <c r="I6" s="134">
        <f t="shared" ref="I6:I29" si="2">H6*60</f>
        <v>82.55207685644092</v>
      </c>
      <c r="J6">
        <f t="shared" si="0"/>
        <v>282.77366777227093</v>
      </c>
      <c r="L6" s="7" t="e">
        <f>B24</f>
        <v>#DIV/0!</v>
      </c>
      <c r="M6" s="9">
        <v>0</v>
      </c>
    </row>
    <row r="7" spans="1:13" x14ac:dyDescent="0.2">
      <c r="A7" s="14" t="s">
        <v>4</v>
      </c>
      <c r="B7" s="16">
        <v>0.219</v>
      </c>
      <c r="C7" s="16">
        <v>0.224</v>
      </c>
      <c r="D7" s="138">
        <f>AVERAGE(B7:C7)</f>
        <v>0.2215</v>
      </c>
      <c r="F7" s="7">
        <f t="shared" ref="F7:F17" si="3">IF(ISNUMBER(F6),IF(F6+10&lt;=MAX(120,ROUNDUP($B$22/10,0)*10),F6+10,NA()),NA())</f>
        <v>20</v>
      </c>
      <c r="G7">
        <f t="shared" ref="G7:G29" si="4">F7/2.78/$B$19</f>
        <v>0.18437325997735896</v>
      </c>
      <c r="H7" s="134">
        <f t="shared" si="1"/>
        <v>0.90229829003633177</v>
      </c>
      <c r="I7" s="134">
        <f t="shared" si="2"/>
        <v>54.13789740217991</v>
      </c>
      <c r="J7">
        <f t="shared" si="0"/>
        <v>243.22920623476821</v>
      </c>
      <c r="L7" s="7" t="e">
        <f>B24</f>
        <v>#DIV/0!</v>
      </c>
      <c r="M7" s="9">
        <f>B28</f>
        <v>0</v>
      </c>
    </row>
    <row r="8" spans="1:13" x14ac:dyDescent="0.2">
      <c r="A8" s="21"/>
      <c r="D8" s="22"/>
      <c r="F8" s="7">
        <f t="shared" si="3"/>
        <v>30</v>
      </c>
      <c r="G8">
        <f t="shared" si="4"/>
        <v>0.27655988996603842</v>
      </c>
      <c r="H8" s="134">
        <f t="shared" si="1"/>
        <v>0.69249914479518049</v>
      </c>
      <c r="I8" s="134">
        <f t="shared" si="2"/>
        <v>41.549948687710831</v>
      </c>
      <c r="J8">
        <f t="shared" si="0"/>
        <v>214.90434472424101</v>
      </c>
      <c r="K8" s="7"/>
      <c r="L8" s="7">
        <v>0</v>
      </c>
      <c r="M8" s="9">
        <f>B28</f>
        <v>0</v>
      </c>
    </row>
    <row r="9" spans="1:13" x14ac:dyDescent="0.2">
      <c r="A9" s="135" t="s">
        <v>159</v>
      </c>
      <c r="B9" s="136" t="s">
        <v>106</v>
      </c>
      <c r="C9" s="136" t="s">
        <v>105</v>
      </c>
      <c r="D9" s="137" t="s">
        <v>107</v>
      </c>
      <c r="F9" s="7">
        <f t="shared" si="3"/>
        <v>40</v>
      </c>
      <c r="G9">
        <f t="shared" si="4"/>
        <v>0.36874651995471791</v>
      </c>
      <c r="H9" s="134">
        <f t="shared" si="1"/>
        <v>0.56743397380367433</v>
      </c>
      <c r="I9" s="134">
        <f t="shared" si="2"/>
        <v>34.046038428220463</v>
      </c>
      <c r="J9">
        <f t="shared" si="0"/>
        <v>192.38717554454183</v>
      </c>
      <c r="L9" t="e">
        <f>B24</f>
        <v>#DIV/0!</v>
      </c>
      <c r="M9" s="9">
        <f>M8</f>
        <v>0</v>
      </c>
    </row>
    <row r="10" spans="1:13" x14ac:dyDescent="0.2">
      <c r="A10" s="14"/>
      <c r="D10" s="22"/>
      <c r="F10" s="7">
        <f t="shared" si="3"/>
        <v>50</v>
      </c>
      <c r="G10">
        <f t="shared" si="4"/>
        <v>0.4609331499433974</v>
      </c>
      <c r="H10" s="134">
        <f t="shared" si="1"/>
        <v>0.48208532829812001</v>
      </c>
      <c r="I10" s="134">
        <f t="shared" si="2"/>
        <v>28.925119697887201</v>
      </c>
      <c r="J10">
        <f t="shared" si="0"/>
        <v>173.58144181267684</v>
      </c>
    </row>
    <row r="11" spans="1:13" x14ac:dyDescent="0.2">
      <c r="A11" s="14" t="s">
        <v>3</v>
      </c>
      <c r="B11">
        <v>39.020000000000003</v>
      </c>
      <c r="C11">
        <v>48.33</v>
      </c>
      <c r="D11" s="22">
        <v>43.67</v>
      </c>
      <c r="F11" s="7">
        <f t="shared" si="3"/>
        <v>60</v>
      </c>
      <c r="G11">
        <f t="shared" si="4"/>
        <v>0.55311977993207684</v>
      </c>
      <c r="H11" s="134">
        <f t="shared" si="1"/>
        <v>0.41908357551651498</v>
      </c>
      <c r="I11" s="134">
        <f t="shared" si="2"/>
        <v>25.145014530990899</v>
      </c>
      <c r="J11">
        <f t="shared" si="0"/>
        <v>157.41205537686557</v>
      </c>
    </row>
    <row r="12" spans="1:13" x14ac:dyDescent="0.2">
      <c r="A12" s="17" t="s">
        <v>4</v>
      </c>
      <c r="B12" s="24">
        <v>0.24099999999999999</v>
      </c>
      <c r="C12" s="24">
        <v>0.25700000000000001</v>
      </c>
      <c r="D12" s="139">
        <v>0.249</v>
      </c>
      <c r="F12" s="7">
        <f t="shared" si="3"/>
        <v>70</v>
      </c>
      <c r="G12">
        <f t="shared" si="4"/>
        <v>0.64530640992075639</v>
      </c>
      <c r="H12" s="134">
        <f t="shared" si="1"/>
        <v>0.37011864174292231</v>
      </c>
      <c r="I12" s="134">
        <f t="shared" si="2"/>
        <v>22.207118504575337</v>
      </c>
      <c r="J12">
        <f t="shared" si="0"/>
        <v>143.24036456156713</v>
      </c>
    </row>
    <row r="13" spans="1:13" x14ac:dyDescent="0.2">
      <c r="F13" s="7">
        <f t="shared" si="3"/>
        <v>80</v>
      </c>
      <c r="G13">
        <f t="shared" si="4"/>
        <v>0.73749303990943582</v>
      </c>
      <c r="H13" s="134">
        <f t="shared" si="1"/>
        <v>0.33064914501816589</v>
      </c>
      <c r="I13" s="134">
        <f t="shared" si="2"/>
        <v>19.838948701089954</v>
      </c>
      <c r="J13">
        <f t="shared" si="0"/>
        <v>130.65025246953647</v>
      </c>
    </row>
    <row r="14" spans="1:13" x14ac:dyDescent="0.2">
      <c r="F14" s="7">
        <f t="shared" si="3"/>
        <v>90</v>
      </c>
      <c r="G14">
        <f t="shared" si="4"/>
        <v>0.82967966989811526</v>
      </c>
      <c r="H14" s="134">
        <f t="shared" si="1"/>
        <v>0.29795598253578293</v>
      </c>
      <c r="I14" s="134">
        <f t="shared" si="2"/>
        <v>17.877358952146977</v>
      </c>
      <c r="J14">
        <f t="shared" si="0"/>
        <v>119.35268331681269</v>
      </c>
    </row>
    <row r="15" spans="1:13" x14ac:dyDescent="0.2">
      <c r="F15" s="7">
        <f t="shared" si="3"/>
        <v>100</v>
      </c>
      <c r="G15">
        <f t="shared" si="4"/>
        <v>0.9218662998867948</v>
      </c>
      <c r="H15" s="134">
        <f t="shared" si="1"/>
        <v>0.27029853901610168</v>
      </c>
      <c r="I15" s="134">
        <f t="shared" si="2"/>
        <v>16.217912340966102</v>
      </c>
      <c r="J15">
        <f t="shared" si="0"/>
        <v>109.13721190840683</v>
      </c>
    </row>
    <row r="16" spans="1:13" x14ac:dyDescent="0.2">
      <c r="A16" s="13" t="s">
        <v>160</v>
      </c>
      <c r="C16" t="str">
        <f>'Volumen Retention'!E45</f>
        <v>Mittelland</v>
      </c>
      <c r="F16" s="7">
        <f t="shared" si="3"/>
        <v>110</v>
      </c>
      <c r="G16">
        <f t="shared" si="4"/>
        <v>1.0140529298754744</v>
      </c>
      <c r="H16" s="134">
        <f t="shared" si="1"/>
        <v>0.24650402888778078</v>
      </c>
      <c r="I16" s="134">
        <f t="shared" si="2"/>
        <v>14.790241733266846</v>
      </c>
      <c r="J16">
        <f t="shared" si="0"/>
        <v>99.844969120877636</v>
      </c>
    </row>
    <row r="17" spans="1:10" x14ac:dyDescent="0.2">
      <c r="A17" s="13" t="s">
        <v>161</v>
      </c>
      <c r="C17" s="7" t="str">
        <f>'Volumen Retention'!E46</f>
        <v>5 Jahre</v>
      </c>
      <c r="F17" s="7">
        <f t="shared" si="3"/>
        <v>120</v>
      </c>
      <c r="G17">
        <f t="shared" si="4"/>
        <v>1.1062395598641537</v>
      </c>
      <c r="H17" s="134">
        <f t="shared" si="1"/>
        <v>0.22574957239759025</v>
      </c>
      <c r="I17" s="134">
        <f t="shared" si="2"/>
        <v>13.544974343855415</v>
      </c>
      <c r="J17">
        <f t="shared" si="0"/>
        <v>91.352529448482031</v>
      </c>
    </row>
    <row r="18" spans="1:10" x14ac:dyDescent="0.2">
      <c r="F18" s="7">
        <v>130</v>
      </c>
      <c r="G18">
        <f t="shared" si="4"/>
        <v>1.1984261898528332</v>
      </c>
      <c r="H18" s="134">
        <f t="shared" si="1"/>
        <v>0.20743848390403991</v>
      </c>
      <c r="I18" s="134">
        <f t="shared" si="2"/>
        <v>12.446309034242395</v>
      </c>
      <c r="J18">
        <f t="shared" si="0"/>
        <v>83.561739065818685</v>
      </c>
    </row>
    <row r="19" spans="1:10" x14ac:dyDescent="0.2">
      <c r="A19" s="7" t="s">
        <v>3</v>
      </c>
      <c r="B19" s="7">
        <f>IF(C17="1 Jahr",IF(C16="Mittelland",B6,IF(C16="Voralpen",C6,IF(C16="Übergangszone",D6,""))),IF(C17="5 Jahre",IF(C16="Mittelland",B11,IF(C16="Voralpen",C11,IF(C16="Übergangszone",D11,"")))))</f>
        <v>39.020000000000003</v>
      </c>
      <c r="F19" s="7">
        <v>140</v>
      </c>
      <c r="G19">
        <f t="shared" si="4"/>
        <v>1.2906128198415128</v>
      </c>
      <c r="H19" s="134">
        <f t="shared" si="1"/>
        <v>0.19112613568593273</v>
      </c>
      <c r="I19" s="134">
        <f t="shared" si="2"/>
        <v>11.467568141155963</v>
      </c>
      <c r="J19">
        <f t="shared" si="0"/>
        <v>76.393015228579799</v>
      </c>
    </row>
    <row r="20" spans="1:10" x14ac:dyDescent="0.2">
      <c r="A20" s="7" t="s">
        <v>4</v>
      </c>
      <c r="B20">
        <f>IF(C17="1 Jahr",IF(C16="Mittelland",B7,IF(C16="Voralpen",C7,IF(C16="Übergangszone",D7,""))),IF(C17="5 Jahre",IF(C16="Mittelland",B12,IF(C16="Voralpen",C12,IF(C16="Übergangszone",D12,"")))))</f>
        <v>0.24099999999999999</v>
      </c>
      <c r="F20" s="7">
        <v>150</v>
      </c>
      <c r="G20">
        <f t="shared" si="4"/>
        <v>1.3827994498301921</v>
      </c>
      <c r="H20" s="134">
        <f t="shared" si="1"/>
        <v>0.17647350893998853</v>
      </c>
      <c r="I20" s="134">
        <f t="shared" si="2"/>
        <v>10.588410536399312</v>
      </c>
      <c r="J20">
        <f t="shared" si="0"/>
        <v>69.78077034481241</v>
      </c>
    </row>
    <row r="21" spans="1:10" x14ac:dyDescent="0.2">
      <c r="A21" s="7" t="s">
        <v>177</v>
      </c>
      <c r="B21" s="11">
        <f>2.78*B19/(B20+C2/60)</f>
        <v>334.45714285714291</v>
      </c>
      <c r="C21" s="7" t="s">
        <v>240</v>
      </c>
      <c r="F21" s="7">
        <v>160</v>
      </c>
      <c r="G21">
        <f t="shared" si="4"/>
        <v>1.4749860798188716</v>
      </c>
      <c r="H21" s="134">
        <f t="shared" si="1"/>
        <v>0.16321698690183717</v>
      </c>
      <c r="I21" s="134">
        <f t="shared" si="2"/>
        <v>9.793019214110231</v>
      </c>
      <c r="J21">
        <f t="shared" si="0"/>
        <v>63.670191089083616</v>
      </c>
    </row>
    <row r="22" spans="1:10" x14ac:dyDescent="0.2">
      <c r="A22" s="13" t="s">
        <v>176</v>
      </c>
      <c r="D22" s="285" t="str">
        <f>'Volumen Retention'!C49</f>
        <v>Abflussbeiwert</v>
      </c>
      <c r="F22" s="7">
        <v>170</v>
      </c>
      <c r="G22">
        <f t="shared" si="4"/>
        <v>1.5671727098075512</v>
      </c>
      <c r="H22" s="134">
        <f t="shared" si="1"/>
        <v>0.15114807827416121</v>
      </c>
      <c r="I22" s="134">
        <f t="shared" si="2"/>
        <v>9.0688846964496719</v>
      </c>
      <c r="J22">
        <f t="shared" si="0"/>
        <v>58.014912192426706</v>
      </c>
    </row>
    <row r="23" spans="1:10" x14ac:dyDescent="0.2">
      <c r="A23" s="7" t="s">
        <v>163</v>
      </c>
      <c r="B23" t="e">
        <f>IF(D22="Abflussbeiwert",'Volumen Retention'!C50*'Volumen Retention'!E40/'Volumen Retention'!E41*'B2'!B21,IF(D22="Abflussmenge pro ha",'Volumen Retention'!C50*'Volumen Retention'!E40/'Volumen Retention'!E41,IF(D22="Spez. Abflussmenge ",'Volumen Retention'!C50)))</f>
        <v>#DIV/0!</v>
      </c>
      <c r="C23" s="7" t="s">
        <v>153</v>
      </c>
      <c r="F23" s="7">
        <v>180</v>
      </c>
      <c r="G23">
        <f t="shared" si="4"/>
        <v>1.6593593397962305</v>
      </c>
      <c r="H23" s="134">
        <f t="shared" si="1"/>
        <v>0.14009943001211056</v>
      </c>
      <c r="I23" s="134">
        <f t="shared" si="2"/>
        <v>8.4059658007266336</v>
      </c>
      <c r="J23">
        <f t="shared" si="0"/>
        <v>52.77529870430471</v>
      </c>
    </row>
    <row r="24" spans="1:10" x14ac:dyDescent="0.2">
      <c r="A24" s="7" t="s">
        <v>180</v>
      </c>
      <c r="B24" t="e">
        <f>B23*'Volumen Retention'!C51</f>
        <v>#DIV/0!</v>
      </c>
      <c r="F24" s="7">
        <v>190</v>
      </c>
      <c r="G24">
        <f t="shared" si="4"/>
        <v>1.7515459697849101</v>
      </c>
      <c r="H24" s="134">
        <f t="shared" si="1"/>
        <v>0.12993494677212891</v>
      </c>
      <c r="I24" s="134">
        <f t="shared" si="2"/>
        <v>7.7960968063277347</v>
      </c>
      <c r="J24">
        <f t="shared" si="0"/>
        <v>47.917152815727682</v>
      </c>
    </row>
    <row r="25" spans="1:10" x14ac:dyDescent="0.2">
      <c r="A25" s="13" t="s">
        <v>165</v>
      </c>
      <c r="F25" s="7">
        <v>200</v>
      </c>
      <c r="G25">
        <f t="shared" si="4"/>
        <v>1.8437325997735896</v>
      </c>
      <c r="H25" s="134">
        <f t="shared" si="1"/>
        <v>0.12054266414906001</v>
      </c>
      <c r="I25" s="134">
        <f t="shared" si="2"/>
        <v>7.2325598489436</v>
      </c>
      <c r="J25">
        <f t="shared" si="0"/>
        <v>43.410723625353604</v>
      </c>
    </row>
    <row r="26" spans="1:10" x14ac:dyDescent="0.2">
      <c r="A26" s="7" t="s">
        <v>154</v>
      </c>
      <c r="B26" s="9" t="e">
        <f>B24/2.78/$B$19</f>
        <v>#DIV/0!</v>
      </c>
      <c r="F26" s="7">
        <v>210</v>
      </c>
      <c r="G26">
        <f t="shared" si="4"/>
        <v>1.9359192297622689</v>
      </c>
      <c r="H26" s="134">
        <f t="shared" si="1"/>
        <v>0.11182951231707472</v>
      </c>
      <c r="I26" s="134">
        <f t="shared" si="2"/>
        <v>6.7097707390244832</v>
      </c>
      <c r="J26">
        <f t="shared" si="0"/>
        <v>39.229937376583088</v>
      </c>
    </row>
    <row r="27" spans="1:10" x14ac:dyDescent="0.2">
      <c r="A27" s="7" t="s">
        <v>155</v>
      </c>
      <c r="B27" s="9" t="e">
        <f>IF(B24&gt;0,SQRT($B$20/B26)-$B$20,0)</f>
        <v>#DIV/0!</v>
      </c>
      <c r="C27" s="7" t="s">
        <v>166</v>
      </c>
      <c r="F27" s="7">
        <v>220</v>
      </c>
      <c r="G27">
        <f t="shared" si="4"/>
        <v>2.0281058597509487</v>
      </c>
      <c r="H27" s="134">
        <f t="shared" si="1"/>
        <v>0.10371740468231233</v>
      </c>
      <c r="I27" s="134">
        <f t="shared" si="2"/>
        <v>6.2230442809387396</v>
      </c>
      <c r="J27">
        <f>IF(ISNUMBER(F27),($B$19/(H27+$B$20)*2.78-F27)*H27*3.6,NA())</f>
        <v>35.351790983217278</v>
      </c>
    </row>
    <row r="28" spans="1:10" x14ac:dyDescent="0.2">
      <c r="A28" s="7" t="s">
        <v>164</v>
      </c>
      <c r="B28" s="9">
        <f>IF(liste!C56=0,0,IF('Volumen Retention'!E56=0,0,($B$19/(B27+$B$20)*2.78-B24)*B27*3.6))</f>
        <v>0</v>
      </c>
      <c r="C28" s="7" t="s">
        <v>241</v>
      </c>
      <c r="F28" s="7">
        <v>230</v>
      </c>
      <c r="G28">
        <f t="shared" si="4"/>
        <v>2.120292489739628</v>
      </c>
      <c r="H28" s="134">
        <f t="shared" si="1"/>
        <v>9.6140272703011398E-2</v>
      </c>
      <c r="I28" s="134">
        <f t="shared" si="2"/>
        <v>5.7684163621806839</v>
      </c>
      <c r="J28">
        <f t="shared" ref="J28:J29" si="5">IF(ISNUMBER(F28),($B$19/(H28+$B$20)*2.78-F28)*H28*3.6,NA())</f>
        <v>31.755868403813196</v>
      </c>
    </row>
    <row r="29" spans="1:10" x14ac:dyDescent="0.2">
      <c r="F29" s="7">
        <v>240</v>
      </c>
      <c r="G29">
        <f t="shared" si="4"/>
        <v>2.2124791197283074</v>
      </c>
      <c r="H29" s="134">
        <f t="shared" si="1"/>
        <v>8.9041787758257496E-2</v>
      </c>
      <c r="I29" s="134">
        <f t="shared" si="2"/>
        <v>5.34250726549545</v>
      </c>
      <c r="J29">
        <f t="shared" si="5"/>
        <v>28.423950753731102</v>
      </c>
    </row>
    <row r="30" spans="1:10" x14ac:dyDescent="0.2">
      <c r="A30" s="13" t="s">
        <v>110</v>
      </c>
      <c r="F30" s="7"/>
      <c r="H30" s="134"/>
      <c r="I30" s="134"/>
    </row>
    <row r="31" spans="1:10" x14ac:dyDescent="0.2">
      <c r="A31" t="e">
        <f>B23/B21</f>
        <v>#DIV/0!</v>
      </c>
      <c r="F31" s="7"/>
      <c r="H31" s="134"/>
      <c r="I31" s="134"/>
    </row>
    <row r="32" spans="1:10" x14ac:dyDescent="0.2">
      <c r="A32" s="13" t="s">
        <v>168</v>
      </c>
      <c r="F32" s="7"/>
      <c r="H32" s="134"/>
      <c r="I32" s="134"/>
    </row>
    <row r="33" spans="6:9" x14ac:dyDescent="0.2">
      <c r="F33" s="7"/>
      <c r="H33" s="134"/>
      <c r="I33" s="134"/>
    </row>
    <row r="34" spans="6:9" x14ac:dyDescent="0.2">
      <c r="F34" s="7"/>
      <c r="H34" s="134"/>
      <c r="I34" s="134"/>
    </row>
    <row r="35" spans="6:9" x14ac:dyDescent="0.2">
      <c r="F35" s="7"/>
      <c r="H35" s="134"/>
      <c r="I35" s="134"/>
    </row>
    <row r="36" spans="6:9" x14ac:dyDescent="0.2">
      <c r="F36" s="7"/>
      <c r="H36" s="134"/>
      <c r="I36" s="134"/>
    </row>
    <row r="37" spans="6:9" x14ac:dyDescent="0.2">
      <c r="F37" s="7"/>
      <c r="H37" s="134"/>
      <c r="I37" s="134"/>
    </row>
    <row r="38" spans="6:9" x14ac:dyDescent="0.2">
      <c r="F38" s="7"/>
      <c r="H38" s="134"/>
      <c r="I38" s="134"/>
    </row>
    <row r="39" spans="6:9" x14ac:dyDescent="0.2">
      <c r="F39" s="7"/>
      <c r="H39" s="134"/>
      <c r="I39" s="134"/>
    </row>
    <row r="40" spans="6:9" x14ac:dyDescent="0.2">
      <c r="F40" s="7"/>
      <c r="H40" s="134"/>
      <c r="I40" s="134"/>
    </row>
    <row r="41" spans="6:9" x14ac:dyDescent="0.2">
      <c r="F41" s="7"/>
      <c r="H41" s="134"/>
      <c r="I41" s="134"/>
    </row>
    <row r="42" spans="6:9" x14ac:dyDescent="0.2">
      <c r="F42" s="7"/>
      <c r="H42" s="134"/>
      <c r="I42" s="134"/>
    </row>
    <row r="43" spans="6:9" x14ac:dyDescent="0.2">
      <c r="F43" s="7"/>
      <c r="H43" s="134"/>
      <c r="I43" s="134"/>
    </row>
    <row r="44" spans="6:9" x14ac:dyDescent="0.2">
      <c r="F44" s="7"/>
      <c r="H44" s="134"/>
      <c r="I44" s="134"/>
    </row>
    <row r="45" spans="6:9" x14ac:dyDescent="0.2">
      <c r="F45" s="7"/>
      <c r="H45" s="134"/>
      <c r="I45" s="134"/>
    </row>
    <row r="46" spans="6:9" x14ac:dyDescent="0.2">
      <c r="F46" s="7"/>
      <c r="H46" s="134"/>
      <c r="I46" s="134"/>
    </row>
    <row r="47" spans="6:9" x14ac:dyDescent="0.2">
      <c r="F47" s="7"/>
      <c r="H47" s="134"/>
      <c r="I47" s="134"/>
    </row>
    <row r="48" spans="6:9" x14ac:dyDescent="0.2">
      <c r="F48" s="7"/>
      <c r="H48" s="134"/>
      <c r="I48" s="134"/>
    </row>
    <row r="49" spans="6:9" x14ac:dyDescent="0.2">
      <c r="F49" s="7"/>
      <c r="H49" s="134"/>
      <c r="I49" s="134"/>
    </row>
    <row r="50" spans="6:9" x14ac:dyDescent="0.2">
      <c r="F50" s="7"/>
      <c r="H50" s="134"/>
      <c r="I50" s="134"/>
    </row>
    <row r="51" spans="6:9" x14ac:dyDescent="0.2">
      <c r="F51" s="7"/>
      <c r="H51" s="134"/>
      <c r="I51" s="134"/>
    </row>
    <row r="52" spans="6:9" x14ac:dyDescent="0.2">
      <c r="I52" s="134"/>
    </row>
    <row r="53" spans="6:9" x14ac:dyDescent="0.2">
      <c r="I53" s="134"/>
    </row>
    <row r="54" spans="6:9" x14ac:dyDescent="0.2">
      <c r="I54" s="134"/>
    </row>
    <row r="55" spans="6:9" x14ac:dyDescent="0.2">
      <c r="I55" s="134"/>
    </row>
    <row r="56" spans="6:9" x14ac:dyDescent="0.2">
      <c r="I56" s="13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workbookViewId="0">
      <selection activeCell="E16" sqref="E16"/>
    </sheetView>
  </sheetViews>
  <sheetFormatPr baseColWidth="10" defaultRowHeight="12.75" x14ac:dyDescent="0.2"/>
  <sheetData>
    <row r="1" spans="1:7" x14ac:dyDescent="0.2">
      <c r="A1" s="7"/>
    </row>
    <row r="2" spans="1:7" ht="15.6" customHeight="1" x14ac:dyDescent="0.2">
      <c r="B2" s="348" t="s">
        <v>242</v>
      </c>
      <c r="C2" s="348"/>
      <c r="D2" s="348"/>
      <c r="E2" s="348"/>
      <c r="F2" s="348"/>
      <c r="G2" s="348"/>
    </row>
    <row r="3" spans="1:7" ht="12.75" customHeight="1" x14ac:dyDescent="0.2">
      <c r="B3" s="348"/>
      <c r="C3" s="348"/>
      <c r="D3" s="348"/>
      <c r="E3" s="348"/>
      <c r="F3" s="348"/>
      <c r="G3" s="348"/>
    </row>
    <row r="4" spans="1:7" x14ac:dyDescent="0.2">
      <c r="B4" s="348"/>
      <c r="C4" s="348"/>
      <c r="D4" s="348"/>
      <c r="E4" s="348"/>
      <c r="F4" s="348"/>
      <c r="G4" s="348"/>
    </row>
    <row r="8" spans="1:7" x14ac:dyDescent="0.2">
      <c r="B8" s="7" t="s">
        <v>243</v>
      </c>
    </row>
    <row r="10" spans="1:7" x14ac:dyDescent="0.2">
      <c r="B10" s="7" t="s">
        <v>244</v>
      </c>
      <c r="C10" s="282">
        <f>'Volumen Retention'!D54</f>
        <v>0</v>
      </c>
      <c r="D10" s="7" t="s">
        <v>245</v>
      </c>
    </row>
    <row r="12" spans="1:7" x14ac:dyDescent="0.2">
      <c r="B12" s="7" t="s">
        <v>249</v>
      </c>
    </row>
    <row r="14" spans="1:7" ht="15.75" x14ac:dyDescent="0.3">
      <c r="B14" s="7" t="s">
        <v>246</v>
      </c>
      <c r="C14" s="283">
        <v>2</v>
      </c>
      <c r="D14" s="7" t="s">
        <v>151</v>
      </c>
    </row>
    <row r="16" spans="1:7" x14ac:dyDescent="0.2">
      <c r="B16" s="7" t="s">
        <v>248</v>
      </c>
    </row>
    <row r="18" spans="3:4" x14ac:dyDescent="0.2">
      <c r="C18" s="284">
        <f>100*SQRT(4*C10/1000/(0.62*SQRT(2*9.81*C14)*PI()))</f>
        <v>0</v>
      </c>
      <c r="D18" s="13" t="s">
        <v>247</v>
      </c>
    </row>
  </sheetData>
  <sheetProtection password="C71F" sheet="1" objects="1" scenarios="1"/>
  <mergeCells count="1">
    <mergeCell ref="B2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15</vt:i4>
      </vt:variant>
    </vt:vector>
  </HeadingPairs>
  <TitlesOfParts>
    <vt:vector size="23" baseType="lpstr">
      <vt:lpstr>Beispiel</vt:lpstr>
      <vt:lpstr>Abflussbeiwert Parzelle</vt:lpstr>
      <vt:lpstr>Volumen Versickerung</vt:lpstr>
      <vt:lpstr>B1</vt:lpstr>
      <vt:lpstr>Volumen Retention</vt:lpstr>
      <vt:lpstr>liste</vt:lpstr>
      <vt:lpstr>B2</vt:lpstr>
      <vt:lpstr>Dim. Lochblende</vt:lpstr>
      <vt:lpstr>'Volumen Retention'!Coefficient_de_ruissellement_à_atteindre</vt:lpstr>
      <vt:lpstr>Coefficient_de_ruissellement_à_atteindre</vt:lpstr>
      <vt:lpstr>Dächer</vt:lpstr>
      <vt:lpstr>'Abflussbeiwert Parzelle'!Druckbereich</vt:lpstr>
      <vt:lpstr>Beispiel!Druckbereich</vt:lpstr>
      <vt:lpstr>'Volumen Retention'!Druckbereich</vt:lpstr>
      <vt:lpstr>'Volumen Versickerung'!Druckbereich</vt:lpstr>
      <vt:lpstr>Typ_Abflussbedingung</vt:lpstr>
      <vt:lpstr>Typ_Anschluss</vt:lpstr>
      <vt:lpstr>Typ_Begrünt</vt:lpstr>
      <vt:lpstr>Typ_Dach</vt:lpstr>
      <vt:lpstr>Typ_Durchlässig</vt:lpstr>
      <vt:lpstr>Typ_Jährlichkeit</vt:lpstr>
      <vt:lpstr>Typ_Platz</vt:lpstr>
      <vt:lpstr>Typ_Zone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Herbert Schaller</cp:lastModifiedBy>
  <cp:lastPrinted>2016-04-12T13:42:52Z</cp:lastPrinted>
  <dcterms:created xsi:type="dcterms:W3CDTF">2011-02-04T08:22:38Z</dcterms:created>
  <dcterms:modified xsi:type="dcterms:W3CDTF">2023-10-10T11:14:58Z</dcterms:modified>
</cp:coreProperties>
</file>